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omments1.xml" ContentType="application/vnd.openxmlformats-officedocument.spreadsheetml.comments+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tables/table98.xml" ContentType="application/vnd.openxmlformats-officedocument.spreadsheetml.table+xml"/>
  <Override PartName="/xl/tables/table99.xml" ContentType="application/vnd.openxmlformats-officedocument.spreadsheetml.table+xml"/>
  <Override PartName="/xl/tables/table100.xml" ContentType="application/vnd.openxmlformats-officedocument.spreadsheetml.table+xml"/>
  <Override PartName="/xl/tables/table101.xml" ContentType="application/vnd.openxmlformats-officedocument.spreadsheetml.table+xml"/>
  <Override PartName="/xl/tables/table102.xml" ContentType="application/vnd.openxmlformats-officedocument.spreadsheetml.table+xml"/>
  <Override PartName="/xl/tables/table103.xml" ContentType="application/vnd.openxmlformats-officedocument.spreadsheetml.table+xml"/>
  <Override PartName="/xl/tables/table104.xml" ContentType="application/vnd.openxmlformats-officedocument.spreadsheetml.table+xml"/>
  <Override PartName="/xl/tables/table105.xml" ContentType="application/vnd.openxmlformats-officedocument.spreadsheetml.table+xml"/>
  <Override PartName="/xl/tables/table106.xml" ContentType="application/vnd.openxmlformats-officedocument.spreadsheetml.table+xml"/>
  <Override PartName="/xl/tables/table107.xml" ContentType="application/vnd.openxmlformats-officedocument.spreadsheetml.table+xml"/>
  <Override PartName="/xl/tables/table108.xml" ContentType="application/vnd.openxmlformats-officedocument.spreadsheetml.table+xml"/>
  <Override PartName="/xl/tables/table109.xml" ContentType="application/vnd.openxmlformats-officedocument.spreadsheetml.table+xml"/>
  <Override PartName="/xl/tables/table110.xml" ContentType="application/vnd.openxmlformats-officedocument.spreadsheetml.table+xml"/>
  <Override PartName="/xl/tables/table111.xml" ContentType="application/vnd.openxmlformats-officedocument.spreadsheetml.table+xml"/>
  <Override PartName="/xl/tables/table112.xml" ContentType="application/vnd.openxmlformats-officedocument.spreadsheetml.table+xml"/>
  <Override PartName="/xl/tables/table113.xml" ContentType="application/vnd.openxmlformats-officedocument.spreadsheetml.table+xml"/>
  <Override PartName="/xl/tables/table114.xml" ContentType="application/vnd.openxmlformats-officedocument.spreadsheetml.table+xml"/>
  <Override PartName="/xl/tables/table115.xml" ContentType="application/vnd.openxmlformats-officedocument.spreadsheetml.table+xml"/>
  <Override PartName="/xl/tables/table116.xml" ContentType="application/vnd.openxmlformats-officedocument.spreadsheetml.table+xml"/>
  <Override PartName="/xl/tables/table117.xml" ContentType="application/vnd.openxmlformats-officedocument.spreadsheetml.table+xml"/>
  <Override PartName="/xl/tables/table118.xml" ContentType="application/vnd.openxmlformats-officedocument.spreadsheetml.table+xml"/>
  <Override PartName="/xl/tables/table119.xml" ContentType="application/vnd.openxmlformats-officedocument.spreadsheetml.table+xml"/>
  <Override PartName="/xl/tables/table120.xml" ContentType="application/vnd.openxmlformats-officedocument.spreadsheetml.table+xml"/>
  <Override PartName="/xl/tables/table121.xml" ContentType="application/vnd.openxmlformats-officedocument.spreadsheetml.table+xml"/>
  <Override PartName="/xl/tables/table122.xml" ContentType="application/vnd.openxmlformats-officedocument.spreadsheetml.table+xml"/>
  <Override PartName="/xl/tables/table123.xml" ContentType="application/vnd.openxmlformats-officedocument.spreadsheetml.table+xml"/>
  <Override PartName="/xl/tables/table124.xml" ContentType="application/vnd.openxmlformats-officedocument.spreadsheetml.table+xml"/>
  <Override PartName="/xl/tables/table125.xml" ContentType="application/vnd.openxmlformats-officedocument.spreadsheetml.table+xml"/>
  <Override PartName="/xl/tables/table126.xml" ContentType="application/vnd.openxmlformats-officedocument.spreadsheetml.table+xml"/>
  <Override PartName="/xl/tables/table127.xml" ContentType="application/vnd.openxmlformats-officedocument.spreadsheetml.table+xml"/>
  <Override PartName="/xl/tables/table128.xml" ContentType="application/vnd.openxmlformats-officedocument.spreadsheetml.table+xml"/>
  <Override PartName="/xl/tables/table129.xml" ContentType="application/vnd.openxmlformats-officedocument.spreadsheetml.table+xml"/>
  <Override PartName="/xl/tables/table130.xml" ContentType="application/vnd.openxmlformats-officedocument.spreadsheetml.table+xml"/>
  <Override PartName="/xl/tables/table131.xml" ContentType="application/vnd.openxmlformats-officedocument.spreadsheetml.table+xml"/>
  <Override PartName="/xl/tables/table132.xml" ContentType="application/vnd.openxmlformats-officedocument.spreadsheetml.table+xml"/>
  <Override PartName="/xl/tables/table133.xml" ContentType="application/vnd.openxmlformats-officedocument.spreadsheetml.table+xml"/>
  <Override PartName="/xl/tables/table134.xml" ContentType="application/vnd.openxmlformats-officedocument.spreadsheetml.table+xml"/>
  <Override PartName="/xl/tables/table135.xml" ContentType="application/vnd.openxmlformats-officedocument.spreadsheetml.table+xml"/>
  <Override PartName="/xl/tables/table136.xml" ContentType="application/vnd.openxmlformats-officedocument.spreadsheetml.table+xml"/>
  <Override PartName="/xl/tables/table137.xml" ContentType="application/vnd.openxmlformats-officedocument.spreadsheetml.table+xml"/>
  <Override PartName="/xl/tables/table138.xml" ContentType="application/vnd.openxmlformats-officedocument.spreadsheetml.table+xml"/>
  <Override PartName="/xl/tables/table139.xml" ContentType="application/vnd.openxmlformats-officedocument.spreadsheetml.table+xml"/>
  <Override PartName="/xl/tables/table140.xml" ContentType="application/vnd.openxmlformats-officedocument.spreadsheetml.table+xml"/>
  <Override PartName="/xl/tables/table141.xml" ContentType="application/vnd.openxmlformats-officedocument.spreadsheetml.table+xml"/>
  <Override PartName="/xl/tables/table142.xml" ContentType="application/vnd.openxmlformats-officedocument.spreadsheetml.table+xml"/>
  <Override PartName="/xl/tables/table143.xml" ContentType="application/vnd.openxmlformats-officedocument.spreadsheetml.table+xml"/>
  <Override PartName="/xl/tables/table144.xml" ContentType="application/vnd.openxmlformats-officedocument.spreadsheetml.table+xml"/>
  <Override PartName="/xl/tables/table145.xml" ContentType="application/vnd.openxmlformats-officedocument.spreadsheetml.table+xml"/>
  <Override PartName="/xl/tables/table146.xml" ContentType="application/vnd.openxmlformats-officedocument.spreadsheetml.table+xml"/>
  <Override PartName="/xl/tables/table147.xml" ContentType="application/vnd.openxmlformats-officedocument.spreadsheetml.table+xml"/>
  <Override PartName="/xl/tables/table148.xml" ContentType="application/vnd.openxmlformats-officedocument.spreadsheetml.table+xml"/>
  <Override PartName="/xl/tables/table149.xml" ContentType="application/vnd.openxmlformats-officedocument.spreadsheetml.table+xml"/>
  <Override PartName="/xl/tables/table150.xml" ContentType="application/vnd.openxmlformats-officedocument.spreadsheetml.table+xml"/>
  <Override PartName="/xl/tables/table151.xml" ContentType="application/vnd.openxmlformats-officedocument.spreadsheetml.table+xml"/>
  <Override PartName="/xl/tables/table152.xml" ContentType="application/vnd.openxmlformats-officedocument.spreadsheetml.table+xml"/>
  <Override PartName="/xl/tables/table153.xml" ContentType="application/vnd.openxmlformats-officedocument.spreadsheetml.table+xml"/>
  <Override PartName="/xl/tables/table154.xml" ContentType="application/vnd.openxmlformats-officedocument.spreadsheetml.table+xml"/>
  <Override PartName="/xl/tables/table155.xml" ContentType="application/vnd.openxmlformats-officedocument.spreadsheetml.table+xml"/>
  <Override PartName="/xl/tables/table15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430"/>
  <workbookPr/>
  <mc:AlternateContent xmlns:mc="http://schemas.openxmlformats.org/markup-compatibility/2006">
    <mc:Choice Requires="x15">
      <x15ac:absPath xmlns:x15ac="http://schemas.microsoft.com/office/spreadsheetml/2010/11/ac" url="D:\Downloads\"/>
    </mc:Choice>
  </mc:AlternateContent>
  <xr:revisionPtr revIDLastSave="0" documentId="13_ncr:1_{046E0313-531C-4837-9898-40CBADA1BC7B}" xr6:coauthVersionLast="47" xr6:coauthVersionMax="47" xr10:uidLastSave="{00000000-0000-0000-0000-000000000000}"/>
  <bookViews>
    <workbookView xWindow="28680" yWindow="-120" windowWidth="16440" windowHeight="28440" tabRatio="781" firstSheet="2" activeTab="3" xr2:uid="{00000000-000D-0000-FFFF-FFFF00000000}"/>
  </bookViews>
  <sheets>
    <sheet name="Orientações" sheetId="1" state="hidden" r:id="rId1"/>
    <sheet name="Servente" sheetId="2" state="hidden" r:id="rId2"/>
    <sheet name="RESUMO" sheetId="3" r:id="rId3"/>
    <sheet name="Pedreiro" sheetId="4" r:id="rId4"/>
    <sheet name="Eletricista" sheetId="5" r:id="rId5"/>
    <sheet name="Pintor" sheetId="6" r:id="rId6"/>
    <sheet name="Técnico em Manutenção" sheetId="7" r:id="rId7"/>
    <sheet name="Piscineiro" sheetId="8" r:id="rId8"/>
    <sheet name="Jardineiro" sheetId="9" r:id="rId9"/>
    <sheet name="Cozinheira" sheetId="10" r:id="rId10"/>
    <sheet name="Auxiliar de Cozinha" sheetId="11" r:id="rId11"/>
    <sheet name="Recepcionista" sheetId="12" r:id="rId12"/>
    <sheet name="Motorista Interestadual" sheetId="13" r:id="rId13"/>
    <sheet name="Uniformes e EPI" sheetId="14" r:id="rId14"/>
    <sheet name="Mat. Piscineiro" sheetId="15" r:id="rId15"/>
    <sheet name="Mat. e Equip. Jardineiro" sheetId="16" r:id="rId16"/>
    <sheet name="Diárias Nacionais Motorista" sheetId="17" r:id="rId17"/>
  </sheets>
  <definedNames>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 name="_xlnm.Print_Area" localSheetId="4">Eletricista!$A$1:$D$148</definedName>
    <definedName name="_xlnm.Print_Area" localSheetId="8">Jardineiro!$A$1:$D$148</definedName>
    <definedName name="_xlnm.Print_Area" localSheetId="3">Pedreiro!$A$1:$D$148</definedName>
    <definedName name="_xlnm.Print_Area" localSheetId="5">Pintor!$A$1:$D$148</definedName>
    <definedName name="_xlnm.Print_Area" localSheetId="7">Piscineiro!$A$1:$D$148</definedName>
    <definedName name="_xlnm.Print_Area" localSheetId="2">RESUMO!$A$1:$G$15</definedName>
    <definedName name="_xlnm.Print_Area" localSheetId="6">'Técnico em Manutenção'!$A$1:$D$148</definedName>
    <definedName name="Salário_Normativo_da_Categoria_Profissional">Servente!$D$5</definedName>
    <definedName name="SalarioBase">Servente!$D$5</definedName>
    <definedName name="Total1">Servente!#REF!</definedName>
    <definedName name="Total2.1">Servente!#REF!</definedName>
    <definedName name="Total2.2">Servente!#REF!</definedName>
    <definedName name="Total2.3">Servente!#REF!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8" i="13" l="1"/>
  <c r="H118" i="12"/>
  <c r="H118" i="11"/>
  <c r="H118" i="10"/>
  <c r="H118" i="9"/>
  <c r="H118" i="8"/>
  <c r="H118" i="7"/>
  <c r="H118" i="6"/>
  <c r="H118" i="5"/>
  <c r="C131" i="13"/>
  <c r="C130" i="13"/>
  <c r="D10" i="17" s="1"/>
  <c r="C135" i="13"/>
  <c r="C134" i="13"/>
  <c r="C133" i="13"/>
  <c r="C49" i="13"/>
  <c r="C135" i="12"/>
  <c r="C134" i="12"/>
  <c r="C133" i="12"/>
  <c r="C49" i="12"/>
  <c r="C135" i="9"/>
  <c r="C134" i="9"/>
  <c r="C133" i="9"/>
  <c r="C135" i="8"/>
  <c r="C134" i="8"/>
  <c r="C133" i="8"/>
  <c r="C135" i="7"/>
  <c r="C134" i="7"/>
  <c r="C133" i="7"/>
  <c r="C135" i="6"/>
  <c r="C134" i="6"/>
  <c r="C133" i="6"/>
  <c r="C135" i="5"/>
  <c r="C134" i="5"/>
  <c r="C133" i="5"/>
  <c r="C135" i="10"/>
  <c r="C134" i="10"/>
  <c r="C133" i="10"/>
  <c r="C135" i="11"/>
  <c r="C134" i="11"/>
  <c r="C133" i="11"/>
  <c r="C131" i="11"/>
  <c r="C130" i="11"/>
  <c r="G154" i="14" l="1"/>
  <c r="H154" i="14" s="1"/>
  <c r="D60" i="4" l="1"/>
  <c r="D60" i="11" l="1"/>
  <c r="D60" i="5"/>
  <c r="D60" i="10"/>
  <c r="D60" i="13"/>
  <c r="D60" i="7"/>
  <c r="D60" i="6"/>
  <c r="D60" i="12"/>
  <c r="D60" i="9"/>
  <c r="D60" i="8"/>
  <c r="C26" i="7"/>
  <c r="F7" i="16" l="1"/>
  <c r="F8" i="16"/>
  <c r="F9" i="16"/>
  <c r="F10" i="16"/>
  <c r="F11" i="16"/>
  <c r="F20" i="16"/>
  <c r="F19" i="15"/>
  <c r="F20" i="15"/>
  <c r="F21" i="15"/>
  <c r="F22" i="15"/>
  <c r="F8" i="15"/>
  <c r="F9" i="15"/>
  <c r="F10" i="15"/>
  <c r="F11" i="15"/>
  <c r="F12" i="15"/>
  <c r="G127" i="14"/>
  <c r="H127" i="14" s="1"/>
  <c r="G128" i="14"/>
  <c r="H128" i="14" s="1"/>
  <c r="G129" i="14"/>
  <c r="H129" i="14" s="1"/>
  <c r="G112" i="14"/>
  <c r="H112" i="14" s="1"/>
  <c r="G113" i="14"/>
  <c r="H113" i="14" s="1"/>
  <c r="G114" i="14"/>
  <c r="H114" i="14" s="1"/>
  <c r="G115" i="14"/>
  <c r="H115" i="14" s="1"/>
  <c r="G116" i="14"/>
  <c r="H116" i="14" s="1"/>
  <c r="G60" i="14"/>
  <c r="H60" i="14" s="1"/>
  <c r="G61" i="14"/>
  <c r="H61" i="14" s="1"/>
  <c r="G62" i="14"/>
  <c r="H62" i="14" s="1"/>
  <c r="G63" i="14"/>
  <c r="H63" i="14" s="1"/>
  <c r="G64" i="14"/>
  <c r="H64" i="14" s="1"/>
  <c r="G65" i="14"/>
  <c r="H65" i="14" s="1"/>
  <c r="G66" i="14"/>
  <c r="H66" i="14" s="1"/>
  <c r="G67" i="14"/>
  <c r="H67" i="14" s="1"/>
  <c r="G45" i="14"/>
  <c r="H45" i="14" s="1"/>
  <c r="G46" i="14"/>
  <c r="H46" i="14" s="1"/>
  <c r="G47" i="14"/>
  <c r="H47" i="14" s="1"/>
  <c r="G48" i="14"/>
  <c r="H48" i="14" s="1"/>
  <c r="G49" i="14"/>
  <c r="H49" i="14" s="1"/>
  <c r="G50" i="14"/>
  <c r="H50" i="14" s="1"/>
  <c r="G51" i="14"/>
  <c r="H51" i="14" s="1"/>
  <c r="G26" i="14"/>
  <c r="H26" i="14" s="1"/>
  <c r="G27" i="14"/>
  <c r="H27" i="14" s="1"/>
  <c r="G28" i="14"/>
  <c r="H28" i="14" s="1"/>
  <c r="G29" i="14"/>
  <c r="H29" i="14" s="1"/>
  <c r="G30" i="14"/>
  <c r="H30" i="14" s="1"/>
  <c r="G31" i="14"/>
  <c r="H31" i="14" s="1"/>
  <c r="G32" i="14"/>
  <c r="H32" i="14" s="1"/>
  <c r="G33" i="14"/>
  <c r="H33" i="14" s="1"/>
  <c r="G34" i="14"/>
  <c r="H34" i="14" s="1"/>
  <c r="G35" i="14"/>
  <c r="H35" i="14" s="1"/>
  <c r="G7" i="14"/>
  <c r="H7" i="14" s="1"/>
  <c r="G8" i="14"/>
  <c r="H8" i="14" s="1"/>
  <c r="G9" i="14"/>
  <c r="H9" i="14" s="1"/>
  <c r="G10" i="14"/>
  <c r="H10" i="14" s="1"/>
  <c r="G11" i="14"/>
  <c r="H11" i="14" s="1"/>
  <c r="G12" i="14"/>
  <c r="H12" i="14" s="1"/>
  <c r="G13" i="14"/>
  <c r="H13" i="14" s="1"/>
  <c r="G14" i="14"/>
  <c r="H14" i="14" s="1"/>
  <c r="G15" i="14"/>
  <c r="H15" i="14" s="1"/>
  <c r="G16" i="14"/>
  <c r="H16" i="14" s="1"/>
  <c r="D17" i="17"/>
  <c r="D16" i="17"/>
  <c r="D15" i="17"/>
  <c r="E10" i="17" l="1"/>
  <c r="F21" i="16"/>
  <c r="F19" i="16"/>
  <c r="F22" i="16" s="1"/>
  <c r="F6" i="16"/>
  <c r="F5" i="16"/>
  <c r="F31" i="15"/>
  <c r="F30" i="15"/>
  <c r="F29" i="15"/>
  <c r="F28" i="15"/>
  <c r="F18" i="15"/>
  <c r="F23" i="15" s="1"/>
  <c r="F7" i="15"/>
  <c r="F6" i="15"/>
  <c r="F5" i="15"/>
  <c r="G155" i="14"/>
  <c r="H155" i="14" s="1"/>
  <c r="G153" i="14"/>
  <c r="H153" i="14" s="1"/>
  <c r="G152" i="14"/>
  <c r="H152" i="14" s="1"/>
  <c r="G151" i="14"/>
  <c r="H151" i="14" s="1"/>
  <c r="G150" i="14"/>
  <c r="H150" i="14" s="1"/>
  <c r="G149" i="14"/>
  <c r="H149" i="14" s="1"/>
  <c r="G148" i="14"/>
  <c r="H148" i="14" s="1"/>
  <c r="G141" i="14"/>
  <c r="H141" i="14" s="1"/>
  <c r="G140" i="14"/>
  <c r="H140" i="14" s="1"/>
  <c r="G139" i="14"/>
  <c r="H139" i="14" s="1"/>
  <c r="G138" i="14"/>
  <c r="H138" i="14" s="1"/>
  <c r="G137" i="14"/>
  <c r="H137" i="14" s="1"/>
  <c r="G136" i="14"/>
  <c r="H136" i="14" s="1"/>
  <c r="G126" i="14"/>
  <c r="H126" i="14" s="1"/>
  <c r="G125" i="14"/>
  <c r="H125" i="14" s="1"/>
  <c r="G124" i="14"/>
  <c r="H124" i="14" s="1"/>
  <c r="G123" i="14"/>
  <c r="H123" i="14" s="1"/>
  <c r="G122" i="14"/>
  <c r="H122" i="14" s="1"/>
  <c r="G111" i="14"/>
  <c r="H111" i="14" s="1"/>
  <c r="G110" i="14"/>
  <c r="H110" i="14" s="1"/>
  <c r="G109" i="14"/>
  <c r="H109" i="14" s="1"/>
  <c r="G102" i="14"/>
  <c r="H102" i="14" s="1"/>
  <c r="G101" i="14"/>
  <c r="H101" i="14" s="1"/>
  <c r="G100" i="14"/>
  <c r="H100" i="14" s="1"/>
  <c r="G99" i="14"/>
  <c r="H99" i="14" s="1"/>
  <c r="G98" i="14"/>
  <c r="H98" i="14" s="1"/>
  <c r="G97" i="14"/>
  <c r="H97" i="14" s="1"/>
  <c r="G96" i="14"/>
  <c r="H96" i="14" s="1"/>
  <c r="G95" i="14"/>
  <c r="H95" i="14" s="1"/>
  <c r="G94" i="14"/>
  <c r="H94" i="14" s="1"/>
  <c r="G93" i="14"/>
  <c r="H93" i="14" s="1"/>
  <c r="G92" i="14"/>
  <c r="H92" i="14" s="1"/>
  <c r="G85" i="14"/>
  <c r="H85" i="14" s="1"/>
  <c r="G84" i="14"/>
  <c r="H84" i="14" s="1"/>
  <c r="G83" i="14"/>
  <c r="H83" i="14" s="1"/>
  <c r="G82" i="14"/>
  <c r="H82" i="14" s="1"/>
  <c r="G81" i="14"/>
  <c r="H81" i="14" s="1"/>
  <c r="G80" i="14"/>
  <c r="H80" i="14" s="1"/>
  <c r="G79" i="14"/>
  <c r="H79" i="14" s="1"/>
  <c r="G78" i="14"/>
  <c r="H78" i="14" s="1"/>
  <c r="G77" i="14"/>
  <c r="H77" i="14" s="1"/>
  <c r="G76" i="14"/>
  <c r="H76" i="14" s="1"/>
  <c r="G75" i="14"/>
  <c r="H75" i="14" s="1"/>
  <c r="G74" i="14"/>
  <c r="H74" i="14" s="1"/>
  <c r="G59" i="14"/>
  <c r="H59" i="14" s="1"/>
  <c r="G58" i="14"/>
  <c r="H58" i="14" s="1"/>
  <c r="G57" i="14"/>
  <c r="H57" i="14" s="1"/>
  <c r="G44" i="14"/>
  <c r="H44" i="14" s="1"/>
  <c r="G43" i="14"/>
  <c r="H43" i="14" s="1"/>
  <c r="G42" i="14"/>
  <c r="H42" i="14" s="1"/>
  <c r="G25" i="14"/>
  <c r="H25" i="14" s="1"/>
  <c r="G24" i="14"/>
  <c r="H24" i="14" s="1"/>
  <c r="G23" i="14"/>
  <c r="H23" i="14" s="1"/>
  <c r="G6" i="14"/>
  <c r="H6" i="14" s="1"/>
  <c r="G5" i="14"/>
  <c r="H5" i="14" s="1"/>
  <c r="G4" i="14"/>
  <c r="H4" i="14" s="1"/>
  <c r="I132" i="13"/>
  <c r="C132" i="13"/>
  <c r="I130" i="13" s="1"/>
  <c r="D11" i="17"/>
  <c r="E11" i="17" s="1"/>
  <c r="K115" i="13"/>
  <c r="K114" i="13"/>
  <c r="J116" i="13" s="1"/>
  <c r="J117" i="13" s="1"/>
  <c r="D104" i="13"/>
  <c r="D109" i="13" s="1"/>
  <c r="C97" i="13"/>
  <c r="C96" i="13"/>
  <c r="C95" i="13"/>
  <c r="C94" i="13"/>
  <c r="C93" i="13"/>
  <c r="C99" i="13" s="1"/>
  <c r="C82" i="13"/>
  <c r="C80" i="13"/>
  <c r="C79" i="13"/>
  <c r="C77" i="13"/>
  <c r="D66" i="13"/>
  <c r="D72" i="13" s="1"/>
  <c r="C55" i="13"/>
  <c r="C81" i="13" s="1"/>
  <c r="C38" i="13"/>
  <c r="C37" i="13"/>
  <c r="D25" i="13"/>
  <c r="D31" i="13" s="1"/>
  <c r="D17" i="13"/>
  <c r="C9" i="13"/>
  <c r="C64" i="13" s="1"/>
  <c r="A3" i="13"/>
  <c r="I132" i="12"/>
  <c r="C132" i="12"/>
  <c r="I130" i="12" s="1"/>
  <c r="C131" i="12"/>
  <c r="C130" i="12"/>
  <c r="K115" i="12"/>
  <c r="K114" i="12"/>
  <c r="D104" i="12"/>
  <c r="D109" i="12" s="1"/>
  <c r="C97" i="12"/>
  <c r="C96" i="12"/>
  <c r="C95" i="12"/>
  <c r="C94" i="12"/>
  <c r="C99" i="12" s="1"/>
  <c r="C93" i="12"/>
  <c r="C82" i="12"/>
  <c r="C80" i="12"/>
  <c r="C79" i="12"/>
  <c r="C77" i="12"/>
  <c r="D66" i="12"/>
  <c r="D72" i="12" s="1"/>
  <c r="C55" i="12"/>
  <c r="C81" i="12" s="1"/>
  <c r="C38" i="12"/>
  <c r="C37" i="12"/>
  <c r="D25" i="12"/>
  <c r="D31" i="12" s="1"/>
  <c r="D141" i="12" s="1"/>
  <c r="D17" i="12"/>
  <c r="C9" i="12"/>
  <c r="C19" i="12" s="1"/>
  <c r="A3" i="12"/>
  <c r="I132" i="11"/>
  <c r="C132" i="11"/>
  <c r="I130" i="11" s="1"/>
  <c r="K115" i="11"/>
  <c r="K114" i="11"/>
  <c r="D104" i="11"/>
  <c r="D109" i="11" s="1"/>
  <c r="C97" i="11"/>
  <c r="C96" i="11"/>
  <c r="C95" i="11"/>
  <c r="C94" i="11"/>
  <c r="C93" i="11"/>
  <c r="C82" i="11"/>
  <c r="C80" i="11"/>
  <c r="C79" i="11"/>
  <c r="C77" i="11"/>
  <c r="D66" i="11"/>
  <c r="D72" i="11" s="1"/>
  <c r="C55" i="11"/>
  <c r="C81" i="11" s="1"/>
  <c r="C38" i="11"/>
  <c r="C37" i="11"/>
  <c r="D25" i="11"/>
  <c r="D31" i="11" s="1"/>
  <c r="D17" i="11"/>
  <c r="C9" i="11"/>
  <c r="C64" i="11" s="1"/>
  <c r="A3" i="11"/>
  <c r="I132" i="10"/>
  <c r="C132" i="10"/>
  <c r="I130" i="10" s="1"/>
  <c r="C131" i="10"/>
  <c r="C130" i="10"/>
  <c r="K115" i="10"/>
  <c r="K114" i="10"/>
  <c r="J116" i="10" s="1"/>
  <c r="J117" i="10" s="1"/>
  <c r="D118" i="10" s="1"/>
  <c r="D104" i="10"/>
  <c r="D109" i="10" s="1"/>
  <c r="C97" i="10"/>
  <c r="C96" i="10"/>
  <c r="C95" i="10"/>
  <c r="C94" i="10"/>
  <c r="C93" i="10"/>
  <c r="C82" i="10"/>
  <c r="C80" i="10"/>
  <c r="C79" i="10"/>
  <c r="C77" i="10"/>
  <c r="D66" i="10"/>
  <c r="D72" i="10" s="1"/>
  <c r="C55" i="10"/>
  <c r="C81" i="10" s="1"/>
  <c r="C38" i="10"/>
  <c r="C37" i="10"/>
  <c r="D25" i="10"/>
  <c r="D31" i="10" s="1"/>
  <c r="D37" i="10" s="1"/>
  <c r="D17" i="10"/>
  <c r="C9" i="10"/>
  <c r="C21" i="10" s="1"/>
  <c r="A3" i="10"/>
  <c r="I132" i="9"/>
  <c r="C132" i="9"/>
  <c r="I130" i="9" s="1"/>
  <c r="C131" i="9"/>
  <c r="C130" i="9"/>
  <c r="K115" i="9"/>
  <c r="K114" i="9"/>
  <c r="J116" i="9" s="1"/>
  <c r="J117" i="9" s="1"/>
  <c r="D104" i="9"/>
  <c r="D109" i="9" s="1"/>
  <c r="C97" i="9"/>
  <c r="C96" i="9"/>
  <c r="C95" i="9"/>
  <c r="C94" i="9"/>
  <c r="C93" i="9"/>
  <c r="C82" i="9"/>
  <c r="C80" i="9"/>
  <c r="C79" i="9"/>
  <c r="C77" i="9"/>
  <c r="D66" i="9"/>
  <c r="D72" i="9" s="1"/>
  <c r="C55" i="9"/>
  <c r="C81" i="9" s="1"/>
  <c r="C38" i="9"/>
  <c r="C37" i="9"/>
  <c r="D25" i="9"/>
  <c r="D31" i="9" s="1"/>
  <c r="D82" i="9" s="1"/>
  <c r="D17" i="9"/>
  <c r="C9" i="9"/>
  <c r="C64" i="9" s="1"/>
  <c r="A3" i="9"/>
  <c r="I132" i="8"/>
  <c r="C132" i="8"/>
  <c r="I130" i="8" s="1"/>
  <c r="C131" i="8"/>
  <c r="C130" i="8"/>
  <c r="K115" i="8"/>
  <c r="K114" i="8"/>
  <c r="D104" i="8"/>
  <c r="D109" i="8" s="1"/>
  <c r="C97" i="8"/>
  <c r="C96" i="8"/>
  <c r="C95" i="8"/>
  <c r="C94" i="8"/>
  <c r="C93" i="8"/>
  <c r="C82" i="8"/>
  <c r="C81" i="8"/>
  <c r="C80" i="8"/>
  <c r="C79" i="8"/>
  <c r="C77" i="8"/>
  <c r="D66" i="8"/>
  <c r="D72" i="8" s="1"/>
  <c r="C55" i="8"/>
  <c r="C38" i="8"/>
  <c r="C37" i="8"/>
  <c r="D25" i="8"/>
  <c r="D31" i="8" s="1"/>
  <c r="D38" i="8" s="1"/>
  <c r="D17" i="8"/>
  <c r="D13" i="8"/>
  <c r="C9" i="8"/>
  <c r="C64" i="8" s="1"/>
  <c r="A3" i="8"/>
  <c r="I132" i="7"/>
  <c r="C132" i="7"/>
  <c r="I130" i="7" s="1"/>
  <c r="C131" i="7"/>
  <c r="C130" i="7"/>
  <c r="K115" i="7"/>
  <c r="K114" i="7"/>
  <c r="D104" i="7"/>
  <c r="D109" i="7" s="1"/>
  <c r="C97" i="7"/>
  <c r="C96" i="7"/>
  <c r="C95" i="7"/>
  <c r="C94" i="7"/>
  <c r="C93" i="7"/>
  <c r="C82" i="7"/>
  <c r="C80" i="7"/>
  <c r="C79" i="7"/>
  <c r="C77" i="7"/>
  <c r="D66" i="7"/>
  <c r="D72" i="7" s="1"/>
  <c r="C55" i="7"/>
  <c r="C81" i="7" s="1"/>
  <c r="C38" i="7"/>
  <c r="C37" i="7"/>
  <c r="D25" i="7"/>
  <c r="D17" i="7"/>
  <c r="D13" i="7"/>
  <c r="C9" i="7"/>
  <c r="C20" i="7" s="1"/>
  <c r="A3" i="7"/>
  <c r="I132" i="6"/>
  <c r="C132" i="6"/>
  <c r="I130" i="6" s="1"/>
  <c r="C131" i="6"/>
  <c r="C130" i="6"/>
  <c r="K115" i="6"/>
  <c r="K114" i="6"/>
  <c r="D104" i="6"/>
  <c r="D109" i="6" s="1"/>
  <c r="C97" i="6"/>
  <c r="C96" i="6"/>
  <c r="C95" i="6"/>
  <c r="C94" i="6"/>
  <c r="C93" i="6"/>
  <c r="C82" i="6"/>
  <c r="C80" i="6"/>
  <c r="C79" i="6"/>
  <c r="C77" i="6"/>
  <c r="D66" i="6"/>
  <c r="D72" i="6" s="1"/>
  <c r="C55" i="6"/>
  <c r="C81" i="6" s="1"/>
  <c r="C38" i="6"/>
  <c r="C37" i="6"/>
  <c r="D25" i="6"/>
  <c r="D31" i="6" s="1"/>
  <c r="D17" i="6"/>
  <c r="D13" i="6"/>
  <c r="C9" i="6"/>
  <c r="C64" i="6" s="1"/>
  <c r="A3" i="6"/>
  <c r="I132" i="5"/>
  <c r="C132" i="5"/>
  <c r="I130" i="5" s="1"/>
  <c r="C131" i="5"/>
  <c r="C130" i="5"/>
  <c r="K115" i="5"/>
  <c r="J116" i="5" s="1"/>
  <c r="J117" i="5" s="1"/>
  <c r="D118" i="5" s="1"/>
  <c r="K114" i="5"/>
  <c r="D104" i="5"/>
  <c r="D109" i="5" s="1"/>
  <c r="C97" i="5"/>
  <c r="C96" i="5"/>
  <c r="C95" i="5"/>
  <c r="C94" i="5"/>
  <c r="C93" i="5"/>
  <c r="C82" i="5"/>
  <c r="C80" i="5"/>
  <c r="C79" i="5"/>
  <c r="C77" i="5"/>
  <c r="D66" i="5"/>
  <c r="D72" i="5" s="1"/>
  <c r="C55" i="5"/>
  <c r="C81" i="5" s="1"/>
  <c r="C38" i="5"/>
  <c r="C37" i="5"/>
  <c r="D25" i="5"/>
  <c r="D26" i="5" s="1"/>
  <c r="D17" i="5"/>
  <c r="D13" i="5"/>
  <c r="C9" i="5"/>
  <c r="C20" i="5" s="1"/>
  <c r="C7" i="5"/>
  <c r="A3" i="5"/>
  <c r="I132" i="4"/>
  <c r="C132" i="4"/>
  <c r="I130" i="4" s="1"/>
  <c r="K115" i="4"/>
  <c r="K114" i="4"/>
  <c r="D104" i="4"/>
  <c r="D109" i="4" s="1"/>
  <c r="C97" i="4"/>
  <c r="C96" i="4"/>
  <c r="C95" i="4"/>
  <c r="C94" i="4"/>
  <c r="C93" i="4"/>
  <c r="C82" i="4"/>
  <c r="C80" i="4"/>
  <c r="C79" i="4"/>
  <c r="C77" i="4"/>
  <c r="C64" i="4"/>
  <c r="D66" i="4"/>
  <c r="D72" i="4" s="1"/>
  <c r="C60" i="4"/>
  <c r="C63" i="4" s="1"/>
  <c r="C55" i="4"/>
  <c r="C81" i="4" s="1"/>
  <c r="C38" i="4"/>
  <c r="C37" i="4"/>
  <c r="D25" i="4"/>
  <c r="D31" i="4" s="1"/>
  <c r="C21" i="4"/>
  <c r="C20" i="4"/>
  <c r="C19" i="4"/>
  <c r="D17" i="4"/>
  <c r="D13" i="4"/>
  <c r="D147" i="2"/>
  <c r="D145" i="2"/>
  <c r="D144" i="2"/>
  <c r="D143" i="2"/>
  <c r="D142" i="2"/>
  <c r="D130" i="2" s="1"/>
  <c r="D141" i="2"/>
  <c r="D146" i="2" s="1"/>
  <c r="C135" i="2"/>
  <c r="C134" i="2"/>
  <c r="C133" i="2"/>
  <c r="C132" i="2" s="1"/>
  <c r="C131" i="2"/>
  <c r="C130" i="2"/>
  <c r="D117" i="2"/>
  <c r="D116" i="2"/>
  <c r="D115" i="2"/>
  <c r="D119" i="2" s="1"/>
  <c r="D110" i="2"/>
  <c r="D109" i="2"/>
  <c r="D111" i="2" s="1"/>
  <c r="D94" i="2"/>
  <c r="D93" i="2"/>
  <c r="D92" i="2"/>
  <c r="D91" i="2"/>
  <c r="D90" i="2"/>
  <c r="D89" i="2"/>
  <c r="D95" i="2" s="1"/>
  <c r="D72" i="2"/>
  <c r="D64" i="2"/>
  <c r="D63" i="2"/>
  <c r="D62" i="2"/>
  <c r="D74" i="2" s="1"/>
  <c r="D50" i="2"/>
  <c r="D49" i="2"/>
  <c r="D40" i="2"/>
  <c r="D71" i="2" s="1"/>
  <c r="D39" i="2"/>
  <c r="D38" i="2"/>
  <c r="D37" i="2"/>
  <c r="D36" i="2"/>
  <c r="C35" i="2"/>
  <c r="D35" i="2" s="1"/>
  <c r="D34" i="2"/>
  <c r="D33" i="2"/>
  <c r="D41" i="2" s="1"/>
  <c r="D24" i="2"/>
  <c r="D23" i="2"/>
  <c r="D22" i="2"/>
  <c r="D11" i="2"/>
  <c r="C99" i="8" l="1"/>
  <c r="C83" i="6"/>
  <c r="C99" i="10"/>
  <c r="D79" i="13"/>
  <c r="C20" i="9"/>
  <c r="C19" i="9"/>
  <c r="F12" i="16"/>
  <c r="D26" i="7"/>
  <c r="D31" i="7" s="1"/>
  <c r="C21" i="12"/>
  <c r="C21" i="5"/>
  <c r="C20" i="11"/>
  <c r="C60" i="13"/>
  <c r="C65" i="13" s="1"/>
  <c r="C19" i="7"/>
  <c r="D38" i="6"/>
  <c r="D141" i="6"/>
  <c r="D80" i="6"/>
  <c r="C21" i="8"/>
  <c r="C99" i="4"/>
  <c r="C60" i="6"/>
  <c r="C21" i="7"/>
  <c r="C64" i="7"/>
  <c r="C99" i="9"/>
  <c r="C60" i="11"/>
  <c r="C99" i="11"/>
  <c r="D41" i="12"/>
  <c r="C64" i="12"/>
  <c r="D79" i="12"/>
  <c r="C64" i="5"/>
  <c r="C60" i="8"/>
  <c r="C64" i="10"/>
  <c r="D85" i="12"/>
  <c r="C63" i="13"/>
  <c r="D69" i="2"/>
  <c r="D75" i="2" s="1"/>
  <c r="J116" i="4"/>
  <c r="J117" i="4" s="1"/>
  <c r="D118" i="4" s="1"/>
  <c r="C83" i="5"/>
  <c r="C99" i="5"/>
  <c r="C19" i="6"/>
  <c r="C60" i="7"/>
  <c r="C65" i="7" s="1"/>
  <c r="C19" i="8"/>
  <c r="C60" i="9"/>
  <c r="C19" i="11"/>
  <c r="J116" i="11"/>
  <c r="J117" i="11" s="1"/>
  <c r="D118" i="11" s="1"/>
  <c r="C20" i="12"/>
  <c r="D37" i="12"/>
  <c r="C60" i="12"/>
  <c r="C63" i="12" s="1"/>
  <c r="D80" i="12"/>
  <c r="D81" i="12" s="1"/>
  <c r="J116" i="12"/>
  <c r="J117" i="12" s="1"/>
  <c r="D118" i="12" s="1"/>
  <c r="C20" i="13"/>
  <c r="F32" i="15"/>
  <c r="F33" i="15" s="1"/>
  <c r="D18" i="17"/>
  <c r="J6" i="17" s="1"/>
  <c r="J8" i="17" s="1"/>
  <c r="F13" i="16"/>
  <c r="D116" i="9" s="1"/>
  <c r="F24" i="15"/>
  <c r="F13" i="15"/>
  <c r="F14" i="15" s="1"/>
  <c r="G156" i="14"/>
  <c r="E114" i="13" s="1" a="1"/>
  <c r="G86" i="14"/>
  <c r="F114" i="8" s="1" a="1"/>
  <c r="G114" i="8" s="1"/>
  <c r="G52" i="14"/>
  <c r="F114" i="6" s="1" a="1"/>
  <c r="G114" i="6" s="1"/>
  <c r="G36" i="14"/>
  <c r="F114" i="5" s="1" a="1"/>
  <c r="G114" i="5" s="1"/>
  <c r="C83" i="12"/>
  <c r="C83" i="10"/>
  <c r="C83" i="9"/>
  <c r="C83" i="8"/>
  <c r="C83" i="7"/>
  <c r="E12" i="17"/>
  <c r="E13" i="17" s="1"/>
  <c r="J7" i="17" s="1"/>
  <c r="C83" i="4"/>
  <c r="D85" i="4"/>
  <c r="D77" i="4"/>
  <c r="D41" i="4"/>
  <c r="D37" i="4"/>
  <c r="D121" i="4"/>
  <c r="D79" i="4"/>
  <c r="D82" i="4"/>
  <c r="D80" i="4"/>
  <c r="D81" i="4" s="1"/>
  <c r="D38" i="4"/>
  <c r="D141" i="4"/>
  <c r="F114" i="13"/>
  <c r="C65" i="4"/>
  <c r="D70" i="2"/>
  <c r="C19" i="5"/>
  <c r="D31" i="5"/>
  <c r="C60" i="5"/>
  <c r="D73" i="2"/>
  <c r="G142" i="14"/>
  <c r="F114" i="12" s="1" a="1"/>
  <c r="D131" i="2"/>
  <c r="D148" i="2" s="1"/>
  <c r="D85" i="6"/>
  <c r="D77" i="6"/>
  <c r="D41" i="6"/>
  <c r="D37" i="6"/>
  <c r="D79" i="6"/>
  <c r="D82" i="6"/>
  <c r="C99" i="6"/>
  <c r="D121" i="6"/>
  <c r="C99" i="7"/>
  <c r="D85" i="8"/>
  <c r="D77" i="8"/>
  <c r="D141" i="8"/>
  <c r="D82" i="8"/>
  <c r="D80" i="8"/>
  <c r="D81" i="8" s="1"/>
  <c r="D41" i="8"/>
  <c r="D37" i="8"/>
  <c r="D39" i="8" s="1"/>
  <c r="D79" i="8"/>
  <c r="D121" i="8"/>
  <c r="D141" i="9"/>
  <c r="D121" i="9"/>
  <c r="D85" i="9"/>
  <c r="D77" i="9"/>
  <c r="D41" i="9"/>
  <c r="D37" i="9"/>
  <c r="D79" i="9"/>
  <c r="D38" i="9"/>
  <c r="D80" i="9"/>
  <c r="D81" i="9" s="1"/>
  <c r="D85" i="11"/>
  <c r="D77" i="11"/>
  <c r="D41" i="11"/>
  <c r="D37" i="11"/>
  <c r="D141" i="11"/>
  <c r="D79" i="11"/>
  <c r="D121" i="11"/>
  <c r="D82" i="11"/>
  <c r="D80" i="11"/>
  <c r="D81" i="11" s="1"/>
  <c r="D38" i="11"/>
  <c r="D136" i="2"/>
  <c r="D81" i="6"/>
  <c r="J116" i="6"/>
  <c r="J117" i="6" s="1"/>
  <c r="J116" i="7"/>
  <c r="J117" i="7" s="1"/>
  <c r="C20" i="6"/>
  <c r="C63" i="7"/>
  <c r="C20" i="8"/>
  <c r="C83" i="11"/>
  <c r="C21" i="6"/>
  <c r="D85" i="10"/>
  <c r="D79" i="10"/>
  <c r="D141" i="10"/>
  <c r="D121" i="10"/>
  <c r="D38" i="10"/>
  <c r="D39" i="10" s="1"/>
  <c r="D82" i="10"/>
  <c r="D80" i="10"/>
  <c r="D81" i="10" s="1"/>
  <c r="D41" i="10"/>
  <c r="C65" i="11"/>
  <c r="C63" i="11"/>
  <c r="J116" i="8"/>
  <c r="J117" i="8" s="1"/>
  <c r="C20" i="10"/>
  <c r="C19" i="10"/>
  <c r="C60" i="10"/>
  <c r="D77" i="10"/>
  <c r="G68" i="14"/>
  <c r="F114" i="7" s="1" a="1"/>
  <c r="G130" i="14"/>
  <c r="F114" i="11" s="1" a="1"/>
  <c r="D38" i="12"/>
  <c r="D77" i="12"/>
  <c r="D82" i="12"/>
  <c r="D121" i="12"/>
  <c r="C83" i="13"/>
  <c r="F24" i="16"/>
  <c r="F23" i="16"/>
  <c r="C21" i="9"/>
  <c r="D141" i="13"/>
  <c r="D82" i="13"/>
  <c r="D80" i="13"/>
  <c r="D81" i="13" s="1"/>
  <c r="D85" i="13"/>
  <c r="D77" i="13"/>
  <c r="D41" i="13"/>
  <c r="D37" i="13"/>
  <c r="D121" i="13"/>
  <c r="D38" i="13"/>
  <c r="G17" i="14"/>
  <c r="F114" i="4" s="1" a="1"/>
  <c r="G103" i="14"/>
  <c r="F114" i="9" s="1" a="1"/>
  <c r="G117" i="14"/>
  <c r="F114" i="10" s="1" a="1"/>
  <c r="C21" i="11"/>
  <c r="C19" i="13"/>
  <c r="C21" i="13"/>
  <c r="F35" i="15" l="1"/>
  <c r="D141" i="7"/>
  <c r="D121" i="7"/>
  <c r="D82" i="7"/>
  <c r="D41" i="7"/>
  <c r="D80" i="7"/>
  <c r="D81" i="7" s="1"/>
  <c r="D37" i="7"/>
  <c r="D85" i="7"/>
  <c r="D79" i="7"/>
  <c r="D38" i="7"/>
  <c r="D77" i="7"/>
  <c r="D39" i="11"/>
  <c r="D42" i="11" s="1"/>
  <c r="D43" i="11" s="1"/>
  <c r="D39" i="6"/>
  <c r="D39" i="4"/>
  <c r="F25" i="16"/>
  <c r="F26" i="16" s="1"/>
  <c r="D117" i="9" s="1"/>
  <c r="D116" i="8"/>
  <c r="F114" i="8"/>
  <c r="D114" i="8" s="1"/>
  <c r="F114" i="6"/>
  <c r="D114" i="6" s="1"/>
  <c r="D119" i="6" s="1"/>
  <c r="D145" i="6" s="1"/>
  <c r="D39" i="7"/>
  <c r="D70" i="7" s="1"/>
  <c r="C63" i="9"/>
  <c r="C65" i="9"/>
  <c r="C65" i="12"/>
  <c r="C63" i="6"/>
  <c r="C65" i="6"/>
  <c r="C65" i="8"/>
  <c r="C63" i="8"/>
  <c r="D39" i="12"/>
  <c r="D70" i="12" s="1"/>
  <c r="E114" i="13"/>
  <c r="D114" i="13" s="1"/>
  <c r="D119" i="13" s="1"/>
  <c r="D125" i="13" s="1"/>
  <c r="F114" i="5"/>
  <c r="D114" i="5" s="1"/>
  <c r="D119" i="5" s="1"/>
  <c r="D125" i="5" s="1"/>
  <c r="E17" i="17"/>
  <c r="D42" i="12"/>
  <c r="D43" i="12" s="1"/>
  <c r="D135" i="2"/>
  <c r="D133" i="2"/>
  <c r="D132" i="2"/>
  <c r="D134" i="2"/>
  <c r="D70" i="10"/>
  <c r="D42" i="10"/>
  <c r="D78" i="13"/>
  <c r="D83" i="13"/>
  <c r="D78" i="12"/>
  <c r="D83" i="12" s="1"/>
  <c r="D78" i="9"/>
  <c r="D83" i="9" s="1"/>
  <c r="D78" i="6"/>
  <c r="D83" i="6" s="1"/>
  <c r="C63" i="5"/>
  <c r="C65" i="5"/>
  <c r="D121" i="5"/>
  <c r="D79" i="5"/>
  <c r="D38" i="5"/>
  <c r="D85" i="5"/>
  <c r="D37" i="5"/>
  <c r="D82" i="5"/>
  <c r="D80" i="5"/>
  <c r="D81" i="5" s="1"/>
  <c r="D141" i="5"/>
  <c r="D77" i="5"/>
  <c r="D41" i="5"/>
  <c r="G114" i="7"/>
  <c r="F114" i="7"/>
  <c r="D114" i="7" s="1"/>
  <c r="D119" i="7" s="1"/>
  <c r="D78" i="8"/>
  <c r="D83" i="8"/>
  <c r="G114" i="9"/>
  <c r="F114" i="9"/>
  <c r="D114" i="9" s="1"/>
  <c r="D39" i="13"/>
  <c r="D78" i="11"/>
  <c r="D83" i="11" s="1"/>
  <c r="D78" i="7"/>
  <c r="E16" i="17"/>
  <c r="E15" i="17"/>
  <c r="D78" i="4"/>
  <c r="D83" i="4" s="1"/>
  <c r="C63" i="10"/>
  <c r="C65" i="10"/>
  <c r="F114" i="12"/>
  <c r="D114" i="12" s="1"/>
  <c r="D119" i="12" s="1"/>
  <c r="G114" i="12"/>
  <c r="D70" i="4"/>
  <c r="D42" i="4"/>
  <c r="D43" i="4" s="1"/>
  <c r="G114" i="10"/>
  <c r="F114" i="10"/>
  <c r="D114" i="10" s="1"/>
  <c r="D119" i="10" s="1"/>
  <c r="G114" i="4"/>
  <c r="F114" i="4"/>
  <c r="D114" i="4" s="1"/>
  <c r="D119" i="4" s="1"/>
  <c r="G114" i="11"/>
  <c r="F114" i="11"/>
  <c r="D114" i="11" s="1"/>
  <c r="D119" i="11" s="1"/>
  <c r="D78" i="10"/>
  <c r="D83" i="10" s="1"/>
  <c r="D43" i="10"/>
  <c r="D39" i="9"/>
  <c r="D70" i="8"/>
  <c r="D42" i="8"/>
  <c r="D43" i="8" s="1"/>
  <c r="D70" i="6"/>
  <c r="D42" i="6"/>
  <c r="D43" i="6" s="1"/>
  <c r="D83" i="7" l="1"/>
  <c r="D70" i="11"/>
  <c r="D119" i="8"/>
  <c r="D125" i="8" s="1"/>
  <c r="D42" i="7"/>
  <c r="D43" i="7" s="1"/>
  <c r="D48" i="7" s="1"/>
  <c r="D39" i="5"/>
  <c r="D119" i="9"/>
  <c r="D125" i="9" s="1"/>
  <c r="D125" i="6"/>
  <c r="E18" i="17"/>
  <c r="E19" i="17" s="1"/>
  <c r="C4" i="17" s="1"/>
  <c r="D4" i="17" s="1"/>
  <c r="D145" i="13"/>
  <c r="D145" i="5"/>
  <c r="D49" i="7"/>
  <c r="D50" i="7"/>
  <c r="D143" i="6"/>
  <c r="D123" i="6"/>
  <c r="D87" i="6"/>
  <c r="D52" i="6"/>
  <c r="D48" i="6"/>
  <c r="D51" i="6"/>
  <c r="D47" i="6"/>
  <c r="D54" i="6"/>
  <c r="D53" i="6"/>
  <c r="D49" i="6"/>
  <c r="D50" i="6"/>
  <c r="D53" i="8"/>
  <c r="D49" i="8"/>
  <c r="D52" i="8"/>
  <c r="D48" i="8"/>
  <c r="D51" i="8"/>
  <c r="D47" i="8"/>
  <c r="D50" i="8"/>
  <c r="D54" i="8"/>
  <c r="D143" i="10"/>
  <c r="D123" i="10"/>
  <c r="D87" i="10"/>
  <c r="D52" i="4"/>
  <c r="D48" i="4"/>
  <c r="D51" i="4"/>
  <c r="D47" i="4"/>
  <c r="D54" i="4"/>
  <c r="D50" i="4"/>
  <c r="D49" i="4"/>
  <c r="D53" i="4"/>
  <c r="D143" i="9"/>
  <c r="D123" i="9"/>
  <c r="D87" i="9"/>
  <c r="D125" i="4"/>
  <c r="D145" i="4"/>
  <c r="D70" i="9"/>
  <c r="D42" i="9"/>
  <c r="D43" i="9" s="1"/>
  <c r="D51" i="10"/>
  <c r="D47" i="10"/>
  <c r="D54" i="10"/>
  <c r="D50" i="10"/>
  <c r="D53" i="10"/>
  <c r="D49" i="10"/>
  <c r="D48" i="10"/>
  <c r="D52" i="10"/>
  <c r="D145" i="10"/>
  <c r="D125" i="10"/>
  <c r="D52" i="11"/>
  <c r="D48" i="11"/>
  <c r="D50" i="11"/>
  <c r="D54" i="11"/>
  <c r="D49" i="11"/>
  <c r="D53" i="11"/>
  <c r="D47" i="11"/>
  <c r="D51" i="11"/>
  <c r="D143" i="4"/>
  <c r="D87" i="4"/>
  <c r="D123" i="4"/>
  <c r="D42" i="13"/>
  <c r="D43" i="13" s="1"/>
  <c r="D70" i="13"/>
  <c r="D87" i="8"/>
  <c r="D143" i="8"/>
  <c r="D123" i="8"/>
  <c r="D87" i="12"/>
  <c r="D123" i="12"/>
  <c r="D143" i="12"/>
  <c r="D145" i="7"/>
  <c r="D125" i="7"/>
  <c r="D145" i="11"/>
  <c r="D125" i="11"/>
  <c r="D145" i="12"/>
  <c r="D125" i="12"/>
  <c r="D143" i="7"/>
  <c r="D123" i="7"/>
  <c r="D87" i="7"/>
  <c r="D123" i="11"/>
  <c r="D143" i="11"/>
  <c r="D87" i="11"/>
  <c r="D78" i="5"/>
  <c r="D83" i="5" s="1"/>
  <c r="D70" i="5"/>
  <c r="D42" i="5"/>
  <c r="D43" i="5" s="1"/>
  <c r="D123" i="13"/>
  <c r="D143" i="13"/>
  <c r="D87" i="13"/>
  <c r="D54" i="12"/>
  <c r="D50" i="12"/>
  <c r="D49" i="12"/>
  <c r="D53" i="12"/>
  <c r="D48" i="12"/>
  <c r="D52" i="12"/>
  <c r="D47" i="12"/>
  <c r="D51" i="12"/>
  <c r="D47" i="7" l="1"/>
  <c r="D53" i="7"/>
  <c r="D51" i="7"/>
  <c r="D52" i="7"/>
  <c r="D55" i="7" s="1"/>
  <c r="D71" i="7" s="1"/>
  <c r="D73" i="7" s="1"/>
  <c r="D145" i="8"/>
  <c r="F13" i="3"/>
  <c r="G13" i="3" s="1"/>
  <c r="D54" i="7"/>
  <c r="D145" i="9"/>
  <c r="D143" i="5"/>
  <c r="D87" i="5"/>
  <c r="D123" i="5"/>
  <c r="D55" i="11"/>
  <c r="D71" i="11" s="1"/>
  <c r="D73" i="11" s="1"/>
  <c r="D55" i="12"/>
  <c r="D71" i="12" s="1"/>
  <c r="D73" i="12" s="1"/>
  <c r="D52" i="9"/>
  <c r="D48" i="9"/>
  <c r="D51" i="9"/>
  <c r="D47" i="9"/>
  <c r="D54" i="9"/>
  <c r="D50" i="9"/>
  <c r="D53" i="9"/>
  <c r="D49" i="9"/>
  <c r="D55" i="6"/>
  <c r="D71" i="6" s="1"/>
  <c r="D73" i="6" s="1"/>
  <c r="D51" i="5"/>
  <c r="D47" i="5"/>
  <c r="D54" i="5"/>
  <c r="D50" i="5"/>
  <c r="D52" i="5"/>
  <c r="D48" i="5"/>
  <c r="D53" i="5"/>
  <c r="D49" i="5"/>
  <c r="D55" i="4"/>
  <c r="D71" i="4" s="1"/>
  <c r="D73" i="4" s="1"/>
  <c r="D53" i="13"/>
  <c r="D49" i="13"/>
  <c r="D52" i="13"/>
  <c r="D48" i="13"/>
  <c r="D54" i="13"/>
  <c r="D50" i="13"/>
  <c r="D47" i="13"/>
  <c r="D51" i="13"/>
  <c r="D55" i="10"/>
  <c r="D71" i="10" s="1"/>
  <c r="D73" i="10" s="1"/>
  <c r="D55" i="8"/>
  <c r="D71" i="8" s="1"/>
  <c r="D73" i="8" s="1"/>
  <c r="D142" i="8" l="1"/>
  <c r="D122" i="8"/>
  <c r="D86" i="8"/>
  <c r="D88" i="8" s="1"/>
  <c r="D142" i="10"/>
  <c r="D122" i="10"/>
  <c r="D86" i="10"/>
  <c r="D88" i="10" s="1"/>
  <c r="D86" i="7"/>
  <c r="D88" i="7" s="1"/>
  <c r="D142" i="7"/>
  <c r="D122" i="7"/>
  <c r="D122" i="11"/>
  <c r="D142" i="11"/>
  <c r="D86" i="11"/>
  <c r="D88" i="11" s="1"/>
  <c r="D122" i="4"/>
  <c r="D86" i="4"/>
  <c r="D88" i="4" s="1"/>
  <c r="D142" i="4"/>
  <c r="D142" i="6"/>
  <c r="D122" i="6"/>
  <c r="D86" i="6"/>
  <c r="D88" i="6" s="1"/>
  <c r="D55" i="13"/>
  <c r="D71" i="13" s="1"/>
  <c r="D73" i="13" s="1"/>
  <c r="D55" i="5"/>
  <c r="D71" i="5" s="1"/>
  <c r="D73" i="5" s="1"/>
  <c r="D55" i="9"/>
  <c r="D71" i="9" s="1"/>
  <c r="D73" i="9" s="1"/>
  <c r="D142" i="12"/>
  <c r="D122" i="12"/>
  <c r="D86" i="12"/>
  <c r="D88" i="12" s="1"/>
  <c r="D98" i="12" l="1"/>
  <c r="D96" i="12"/>
  <c r="D94" i="12"/>
  <c r="D93" i="12"/>
  <c r="D95" i="12"/>
  <c r="D97" i="12"/>
  <c r="D142" i="5"/>
  <c r="D86" i="5"/>
  <c r="D88" i="5" s="1"/>
  <c r="D122" i="5"/>
  <c r="D96" i="11"/>
  <c r="D94" i="11"/>
  <c r="D98" i="11"/>
  <c r="D93" i="11"/>
  <c r="D95" i="11"/>
  <c r="D97" i="11"/>
  <c r="D98" i="8"/>
  <c r="D97" i="8"/>
  <c r="D95" i="8"/>
  <c r="D93" i="8"/>
  <c r="D94" i="8"/>
  <c r="D96" i="8"/>
  <c r="D96" i="6"/>
  <c r="D94" i="6"/>
  <c r="D93" i="6"/>
  <c r="D98" i="6"/>
  <c r="D95" i="6"/>
  <c r="D97" i="6"/>
  <c r="D96" i="4"/>
  <c r="D94" i="4"/>
  <c r="D97" i="4"/>
  <c r="D93" i="4"/>
  <c r="D98" i="4"/>
  <c r="D95" i="4"/>
  <c r="D96" i="10"/>
  <c r="D94" i="10"/>
  <c r="D98" i="10"/>
  <c r="D97" i="10"/>
  <c r="D93" i="10"/>
  <c r="D95" i="10"/>
  <c r="D86" i="13"/>
  <c r="D88" i="13" s="1"/>
  <c r="D122" i="13"/>
  <c r="D142" i="13"/>
  <c r="D97" i="7"/>
  <c r="D95" i="7"/>
  <c r="D93" i="7"/>
  <c r="D96" i="7"/>
  <c r="D94" i="7"/>
  <c r="D98" i="7"/>
  <c r="D122" i="9"/>
  <c r="D86" i="9"/>
  <c r="D88" i="9" s="1"/>
  <c r="D142" i="9"/>
  <c r="D99" i="12" l="1"/>
  <c r="D108" i="12" s="1"/>
  <c r="D110" i="12" s="1"/>
  <c r="D144" i="12" s="1"/>
  <c r="D146" i="12" s="1"/>
  <c r="D99" i="7"/>
  <c r="D108" i="7" s="1"/>
  <c r="D110" i="7" s="1"/>
  <c r="D144" i="7" s="1"/>
  <c r="D146" i="7" s="1"/>
  <c r="D99" i="4"/>
  <c r="D108" i="4" s="1"/>
  <c r="D110" i="4" s="1"/>
  <c r="D124" i="4" s="1"/>
  <c r="D126" i="4" s="1"/>
  <c r="D99" i="11"/>
  <c r="D108" i="11" s="1"/>
  <c r="D110" i="11" s="1"/>
  <c r="D99" i="10"/>
  <c r="D108" i="10" s="1"/>
  <c r="D110" i="10" s="1"/>
  <c r="D97" i="13"/>
  <c r="D95" i="13"/>
  <c r="D93" i="13"/>
  <c r="D98" i="13"/>
  <c r="D96" i="13"/>
  <c r="D94" i="13"/>
  <c r="D124" i="12"/>
  <c r="D126" i="12" s="1"/>
  <c r="D96" i="9"/>
  <c r="D94" i="9"/>
  <c r="D98" i="9"/>
  <c r="D93" i="9"/>
  <c r="D95" i="9"/>
  <c r="D97" i="9"/>
  <c r="D99" i="6"/>
  <c r="D108" i="6" s="1"/>
  <c r="D110" i="6" s="1"/>
  <c r="D96" i="5"/>
  <c r="D94" i="5"/>
  <c r="D98" i="5"/>
  <c r="D97" i="5"/>
  <c r="D95" i="5"/>
  <c r="D93" i="5"/>
  <c r="D99" i="8"/>
  <c r="D108" i="8" s="1"/>
  <c r="D110" i="8" s="1"/>
  <c r="D124" i="7" l="1"/>
  <c r="D126" i="7" s="1"/>
  <c r="D130" i="7" s="1"/>
  <c r="D144" i="4"/>
  <c r="D146" i="4" s="1"/>
  <c r="D99" i="9"/>
  <c r="D108" i="9" s="1"/>
  <c r="D110" i="9" s="1"/>
  <c r="D144" i="9" s="1"/>
  <c r="D146" i="9" s="1"/>
  <c r="D99" i="5"/>
  <c r="D108" i="5" s="1"/>
  <c r="D110" i="5" s="1"/>
  <c r="D130" i="4"/>
  <c r="D144" i="8"/>
  <c r="D146" i="8" s="1"/>
  <c r="D124" i="8"/>
  <c r="D126" i="8" s="1"/>
  <c r="D124" i="6"/>
  <c r="D126" i="6" s="1"/>
  <c r="D144" i="6"/>
  <c r="D146" i="6" s="1"/>
  <c r="D130" i="12"/>
  <c r="D131" i="12" s="1"/>
  <c r="D99" i="13"/>
  <c r="D108" i="13" s="1"/>
  <c r="D110" i="13" s="1"/>
  <c r="D124" i="10"/>
  <c r="D126" i="10" s="1"/>
  <c r="D144" i="10"/>
  <c r="D146" i="10" s="1"/>
  <c r="D144" i="11"/>
  <c r="D146" i="11" s="1"/>
  <c r="D124" i="11"/>
  <c r="D126" i="11" s="1"/>
  <c r="D124" i="9" l="1"/>
  <c r="D126" i="9" s="1"/>
  <c r="D130" i="9" s="1"/>
  <c r="D124" i="5"/>
  <c r="D126" i="5" s="1"/>
  <c r="D144" i="5"/>
  <c r="D146" i="5" s="1"/>
  <c r="D130" i="6"/>
  <c r="D130" i="8"/>
  <c r="D131" i="8" s="1"/>
  <c r="D130" i="10"/>
  <c r="I131" i="12"/>
  <c r="I133" i="12" s="1"/>
  <c r="D130" i="11"/>
  <c r="D131" i="11" s="1"/>
  <c r="D124" i="13"/>
  <c r="D126" i="13" s="1"/>
  <c r="D144" i="13"/>
  <c r="D146" i="13" s="1"/>
  <c r="D131" i="7"/>
  <c r="D131" i="4"/>
  <c r="I131" i="4" s="1"/>
  <c r="I133" i="4" s="1"/>
  <c r="D131" i="9" l="1"/>
  <c r="I131" i="9" s="1"/>
  <c r="I133" i="9" s="1"/>
  <c r="I131" i="8"/>
  <c r="I133" i="8" s="1"/>
  <c r="D134" i="8" s="1"/>
  <c r="D134" i="12"/>
  <c r="D133" i="12"/>
  <c r="D135" i="12"/>
  <c r="I131" i="7"/>
  <c r="I133" i="7" s="1"/>
  <c r="D130" i="5"/>
  <c r="I131" i="11"/>
  <c r="I133" i="11" s="1"/>
  <c r="D130" i="13"/>
  <c r="D133" i="4"/>
  <c r="D135" i="4"/>
  <c r="D134" i="4"/>
  <c r="D131" i="10"/>
  <c r="I131" i="10" s="1"/>
  <c r="I133" i="10" s="1"/>
  <c r="D131" i="6"/>
  <c r="I131" i="6" s="1"/>
  <c r="I133" i="6" s="1"/>
  <c r="D135" i="8" l="1"/>
  <c r="D133" i="8"/>
  <c r="D133" i="9"/>
  <c r="D135" i="9"/>
  <c r="D134" i="9"/>
  <c r="D134" i="10"/>
  <c r="D133" i="10"/>
  <c r="D135" i="10"/>
  <c r="D131" i="5"/>
  <c r="I131" i="5" s="1"/>
  <c r="I133" i="5" s="1"/>
  <c r="D132" i="12"/>
  <c r="D136" i="12" s="1"/>
  <c r="D147" i="12" s="1"/>
  <c r="D148" i="12" s="1"/>
  <c r="F11" i="3" s="1"/>
  <c r="G11" i="3" s="1"/>
  <c r="D132" i="4"/>
  <c r="D136" i="4" s="1"/>
  <c r="D147" i="4" s="1"/>
  <c r="D148" i="4" s="1"/>
  <c r="F3" i="3" s="1"/>
  <c r="G3" i="3" s="1"/>
  <c r="D135" i="6"/>
  <c r="D134" i="6"/>
  <c r="D133" i="6"/>
  <c r="D131" i="13"/>
  <c r="I131" i="13" s="1"/>
  <c r="I133" i="13" s="1"/>
  <c r="D133" i="11"/>
  <c r="D135" i="11"/>
  <c r="D134" i="11"/>
  <c r="D133" i="7"/>
  <c r="D135" i="7"/>
  <c r="D134" i="7"/>
  <c r="D132" i="8" l="1"/>
  <c r="D136" i="8" s="1"/>
  <c r="D147" i="8" s="1"/>
  <c r="D148" i="8" s="1"/>
  <c r="F7" i="3" s="1"/>
  <c r="G7" i="3" s="1"/>
  <c r="D132" i="11"/>
  <c r="D136" i="11" s="1"/>
  <c r="D147" i="11" s="1"/>
  <c r="D148" i="11" s="1"/>
  <c r="F10" i="3" s="1"/>
  <c r="G10" i="3" s="1"/>
  <c r="D132" i="9"/>
  <c r="D136" i="9" s="1"/>
  <c r="D147" i="9" s="1"/>
  <c r="D148" i="9" s="1"/>
  <c r="F8" i="3" s="1"/>
  <c r="G8" i="3" s="1"/>
  <c r="D132" i="7"/>
  <c r="D136" i="7" s="1"/>
  <c r="D147" i="7" s="1"/>
  <c r="D148" i="7" s="1"/>
  <c r="D133" i="13"/>
  <c r="D135" i="13"/>
  <c r="D134" i="13"/>
  <c r="D135" i="5"/>
  <c r="D134" i="5"/>
  <c r="D133" i="5"/>
  <c r="D132" i="6"/>
  <c r="D136" i="6" s="1"/>
  <c r="D147" i="6" s="1"/>
  <c r="D148" i="6" s="1"/>
  <c r="F5" i="3" s="1"/>
  <c r="G5" i="3" s="1"/>
  <c r="D132" i="10"/>
  <c r="D136" i="10" s="1"/>
  <c r="D147" i="10" s="1"/>
  <c r="D148" i="10" s="1"/>
  <c r="F9" i="3" s="1"/>
  <c r="G9" i="3" s="1"/>
  <c r="F6" i="3" l="1"/>
  <c r="G6" i="3" s="1"/>
  <c r="D132" i="5"/>
  <c r="D136" i="5" s="1"/>
  <c r="D147" i="5" s="1"/>
  <c r="D148" i="5" s="1"/>
  <c r="F4" i="3" s="1"/>
  <c r="G4" i="3" s="1"/>
  <c r="D132" i="13"/>
  <c r="D136" i="13" s="1"/>
  <c r="D147" i="13" s="1"/>
  <c r="D148" i="13" s="1"/>
  <c r="F12" i="3" s="1"/>
  <c r="G12" i="3" s="1"/>
  <c r="G14" i="3" l="1"/>
  <c r="G15" i="3" l="1"/>
  <c r="D105" i="2"/>
  <c r="D17" i="2"/>
  <c r="C95" i="2"/>
  <c r="C4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G16" authorId="0" shapeId="0" xr:uid="{00000000-0006-0000-0100-000001000000}">
      <text>
        <r>
          <rPr>
            <sz val="10"/>
            <rFont val="Arial"/>
            <family val="2"/>
          </rPr>
          <t>Daniel Carlos:
Valores que constam no caderno técnico. A unidade deve realizar pesquisa de mercado para o levantamento do percentual médio destas rubricas.</t>
        </r>
      </text>
    </comment>
  </commentList>
</comments>
</file>

<file path=xl/sharedStrings.xml><?xml version="1.0" encoding="utf-8"?>
<sst xmlns="http://schemas.openxmlformats.org/spreadsheetml/2006/main" count="3488" uniqueCount="459">
  <si>
    <t>Orientações para utilização desta Planilha</t>
  </si>
  <si>
    <t>Esta planilha tem como finalidade orientar o planejamento da contratação e fundamentar seu custo estimado , conforme item 2.9, b, do Anexo V da Instrução Normativa SEGES/MPDG nº 05, de 2017.</t>
  </si>
  <si>
    <t>Além dos cálculos e valores constantes na própria IN 05/2017, foi utilizada a metodologia de cálculo constante no caderno técnico de limpeza do Ministério do Planejamento.</t>
  </si>
  <si>
    <r>
      <rPr>
        <sz val="11"/>
        <color rgb="FF000000"/>
        <rFont val="Calibri"/>
        <family val="2"/>
        <charset val="1"/>
      </rPr>
      <t xml:space="preserve">Para não haver alteração nas fórmulas constantes nas planilhas, recomenda-se, com exceção da aba "Ambientes", que somente se altere os valores que constam células com fundo </t>
    </r>
    <r>
      <rPr>
        <u/>
        <sz val="11"/>
        <color rgb="FFF4B183"/>
        <rFont val="Calibri"/>
        <family val="2"/>
        <charset val="1"/>
      </rPr>
      <t>laranja.</t>
    </r>
  </si>
  <si>
    <t>A lista de materiais, equipamentos, EPIs e Uniformes, bem como seus respectivos valores unitários são meramente exemplificativos. Cabe à equipe de planejamento realizar o levantamento dos materiais e respectivos quantitativos necessários à execução dos serviços, bem como realizar pesquisa de preço de cada insumo, inserindo-os na planilha.</t>
  </si>
  <si>
    <t>Esta planilha calcula automaticamente o quantitativo de área para cada tipo previsto na IN 05/2017, de acordo com os ambientes inseridos na tabela correspondente. Caso a unidade já tenha o quantitativo consolidade, decorrente de estimativas pretéritas, basta inserir os valores diretamente na planilha "Tipos de Área e Produtividade", na coluna "Quantidade" (Obs. Recomenda-se apagar todo o conteúdo da coluna antes de inserir os valores).</t>
  </si>
  <si>
    <t xml:space="preserve">As produtividades que a unidade deseja utilizar deve ser inserida na planilha "Tipos de Área e Produtividade" no campo "Produtividade Personalizada". A planilha calculará automaticamente o quantitativo de serventes previsto, com base na quantidade demandada e na produtividade inserida. </t>
  </si>
  <si>
    <t>A planilha automaticamente arredonda o quantitativo de serventes, realizando os devidos ajustes nas produtividades e as utilizando para os demais cálculos da planilha.</t>
  </si>
  <si>
    <t>Caso a unidade opte pela não utilização do encarregado (recomendado nos casos de quantitativos pequenos de servente), os valores da coluna "Preço Homem Mês - Encarregado" deve ser removido.</t>
  </si>
  <si>
    <t>Foi utilizado os percentuais de lucro e custos indireitos do caderno técnico de limpeza. Recomenda-se que seja realizada pesquisa de mercado para apuração do média de mercado para tais rubricas.</t>
  </si>
  <si>
    <t>Em caso de dúvidas ou sugestões, entrar em contato por meio do e-mail: daniel.souza@ifpb.edu.br ou danieloxyjp@gmail.com</t>
  </si>
  <si>
    <t>Última atualização: 28/02/2019</t>
  </si>
  <si>
    <t xml:space="preserve"> Daniel Carlos Cruz de Souza</t>
  </si>
  <si>
    <t>Coordenação de Planejamento em Aquisições - Reitoria/IFPB</t>
  </si>
  <si>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</si>
  <si>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</si>
  <si>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</si>
  <si>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</si>
  <si>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</si>
  <si>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</si>
  <si>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</si>
  <si>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</si>
  <si>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</si>
  <si>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</si>
  <si>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</si>
  <si>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</si>
  <si>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</si>
  <si>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</si>
  <si>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</si>
  <si>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</si>
  <si>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</si>
  <si>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</si>
  <si>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</si>
  <si>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</si>
  <si>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</si>
  <si>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</si>
  <si>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</si>
  <si>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</si>
  <si>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</si>
  <si>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</si>
  <si>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</si>
  <si>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</si>
  <si>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</si>
  <si>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</si>
  <si>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</si>
  <si>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</si>
  <si>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</si>
  <si>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</si>
  <si>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</si>
  <si>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</si>
  <si>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</si>
  <si>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</si>
  <si>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</si>
  <si>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</si>
  <si>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</si>
  <si>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</si>
  <si>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</si>
  <si>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</si>
  <si>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</si>
  <si>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</si>
  <si>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</si>
  <si>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</si>
  <si>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</si>
  <si>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</si>
  <si>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</si>
  <si>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</si>
  <si>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</si>
  <si>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</si>
  <si>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</si>
  <si>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</si>
  <si>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</si>
  <si>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</si>
  <si>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</si>
  <si>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</si>
  <si>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</si>
  <si>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</si>
  <si>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</si>
  <si>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</si>
  <si>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</si>
  <si>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</si>
  <si>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</si>
  <si>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</si>
  <si>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</si>
  <si>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</si>
  <si>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</si>
  <si>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</si>
  <si>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</si>
  <si>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</si>
  <si>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</si>
  <si>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</si>
  <si>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</si>
  <si>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</si>
  <si>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</si>
  <si>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</si>
  <si>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</si>
  <si>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</si>
  <si>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</si>
  <si>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</si>
  <si>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</si>
  <si>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</si>
  <si>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</si>
  <si>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</si>
  <si>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</si>
  <si>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</si>
  <si>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</si>
  <si>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</si>
  <si>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</si>
  <si>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</si>
  <si>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</si>
  <si>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</si>
  <si>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</si>
  <si>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</si>
  <si>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</si>
  <si>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</si>
  <si>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</si>
  <si>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</si>
  <si>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</si>
  <si>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</si>
  <si>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</si>
  <si>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</si>
  <si>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</si>
  <si>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</si>
  <si>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</si>
  <si>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</si>
  <si>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</si>
  <si>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</si>
  <si>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</si>
  <si>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</si>
  <si>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</si>
  <si>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</si>
  <si>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</si>
  <si>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</si>
  <si>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</si>
  <si>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</si>
  <si>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</si>
  <si>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</si>
  <si>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</si>
  <si>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</si>
  <si>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</si>
  <si>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</si>
  <si>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</si>
  <si>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</si>
  <si>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</si>
  <si>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</si>
  <si>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</si>
  <si>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</si>
  <si>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</si>
  <si>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</si>
  <si>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</si>
  <si>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</si>
  <si>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</si>
  <si>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</si>
  <si>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</si>
  <si>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</si>
  <si>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</si>
  <si>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</si>
  <si>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</si>
  <si>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</si>
  <si>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</si>
  <si>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</si>
  <si>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</si>
  <si>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</si>
  <si>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</si>
  <si>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</si>
  <si>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</si>
  <si>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</si>
  <si>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</si>
  <si>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</si>
  <si>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</si>
  <si>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</si>
  <si>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</si>
  <si>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</si>
  <si>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</si>
  <si>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</si>
  <si>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</si>
  <si>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</si>
  <si>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</si>
  <si>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RESUMO</t>
  </si>
  <si>
    <t>Unidade</t>
  </si>
  <si>
    <t>Quantidade</t>
  </si>
  <si>
    <t>VIGÊNCIA (Mês)</t>
  </si>
  <si>
    <t xml:space="preserve">VALOR UNITÁRIO </t>
  </si>
  <si>
    <t xml:space="preserve">VALOR TOTAL </t>
  </si>
  <si>
    <r>
      <rPr>
        <sz val="14"/>
        <color theme="1"/>
        <rFont val="Arial"/>
        <family val="2"/>
        <charset val="1"/>
      </rPr>
      <t xml:space="preserve">PRESTAÇÃO DE SERVIÇOS DE APOIO ADMINISTRATIVO - Posto de serviços: </t>
    </r>
    <r>
      <rPr>
        <b/>
        <sz val="14"/>
        <color theme="1"/>
        <rFont val="Arial"/>
        <family val="2"/>
        <charset val="1"/>
      </rPr>
      <t>PEDREIRO - CBO: 7152-10</t>
    </r>
    <r>
      <rPr>
        <sz val="14"/>
        <color theme="1"/>
        <rFont val="Arial"/>
        <family val="2"/>
        <charset val="1"/>
      </rPr>
      <t>, em jornada semanal de 44 (quarenta e quatro) horas</t>
    </r>
  </si>
  <si>
    <t>POSTO</t>
  </si>
  <si>
    <r>
      <rPr>
        <sz val="14"/>
        <color theme="1"/>
        <rFont val="Arial"/>
        <family val="2"/>
        <charset val="1"/>
      </rPr>
      <t xml:space="preserve">PRESTAÇÃO DE SERVIÇOS DE APOIO ADMINISTRATIVO - Posto de serviços: </t>
    </r>
    <r>
      <rPr>
        <b/>
        <sz val="14"/>
        <color theme="1"/>
        <rFont val="Arial"/>
        <family val="2"/>
        <charset val="1"/>
      </rPr>
      <t>PINTOR - CBO: 7166-10</t>
    </r>
    <r>
      <rPr>
        <sz val="14"/>
        <color theme="1"/>
        <rFont val="Arial"/>
        <family val="2"/>
        <charset val="1"/>
      </rPr>
      <t>, em jornada semanal de 44 (quarenta e quatro) horas.</t>
    </r>
  </si>
  <si>
    <r>
      <rPr>
        <sz val="14"/>
        <color theme="1"/>
        <rFont val="Arial"/>
        <family val="2"/>
        <charset val="1"/>
      </rPr>
      <t xml:space="preserve">PRESTAÇÃO DE SERVIÇOS DE APOIO ADMINISTRATIVO - Posto de serviços: </t>
    </r>
    <r>
      <rPr>
        <b/>
        <sz val="14"/>
        <color theme="1"/>
        <rFont val="Arial"/>
        <family val="2"/>
        <charset val="1"/>
      </rPr>
      <t>PISCINEIRO - CBO: 5143-30</t>
    </r>
    <r>
      <rPr>
        <sz val="14"/>
        <color theme="1"/>
        <rFont val="Arial"/>
        <family val="2"/>
        <charset val="1"/>
      </rPr>
      <t>, em jornada semanal de 44 (quarenta e quatro) horas.</t>
    </r>
  </si>
  <si>
    <r>
      <rPr>
        <sz val="14"/>
        <color theme="1"/>
        <rFont val="Arial"/>
        <family val="2"/>
        <charset val="1"/>
      </rPr>
      <t xml:space="preserve">PRESTAÇÃO DE SERVIÇOS DE APOIO ADMINISTRATIVO - Posto de serviços: </t>
    </r>
    <r>
      <rPr>
        <b/>
        <sz val="14"/>
        <color theme="1"/>
        <rFont val="Arial"/>
        <family val="2"/>
        <charset val="1"/>
      </rPr>
      <t>COZINHEIRA - CBO: 5132-05</t>
    </r>
    <r>
      <rPr>
        <sz val="14"/>
        <color theme="1"/>
        <rFont val="Arial"/>
        <family val="2"/>
        <charset val="1"/>
      </rPr>
      <t>, em jornada semanal de 44 (quarenta e quatro) horas.</t>
    </r>
  </si>
  <si>
    <r>
      <rPr>
        <sz val="14"/>
        <color theme="1"/>
        <rFont val="Arial"/>
        <family val="2"/>
        <charset val="1"/>
      </rPr>
      <t xml:space="preserve">PRESTAÇÃO DE SERVIÇOS DE APOIO ADMINISTRATIVO - Posto de serviços: </t>
    </r>
    <r>
      <rPr>
        <b/>
        <sz val="14"/>
        <color theme="1"/>
        <rFont val="Arial"/>
        <family val="2"/>
        <charset val="1"/>
      </rPr>
      <t>AUXILIAR DE COZINHA - CBO: 5135-05</t>
    </r>
    <r>
      <rPr>
        <sz val="14"/>
        <color theme="1"/>
        <rFont val="Arial"/>
        <family val="2"/>
        <charset val="1"/>
      </rPr>
      <t>, em jornada semanal de 44 (quarenta e quatro) horas.</t>
    </r>
  </si>
  <si>
    <r>
      <rPr>
        <sz val="14"/>
        <color theme="1"/>
        <rFont val="Arial"/>
        <family val="2"/>
        <charset val="1"/>
      </rPr>
      <t xml:space="preserve">PRESTAÇÃO DE SERVIÇOS DE APOIO ADMINISTRATIVO - Posto de serviços: </t>
    </r>
    <r>
      <rPr>
        <b/>
        <sz val="14"/>
        <color theme="1"/>
        <rFont val="Arial"/>
        <family val="2"/>
        <charset val="1"/>
      </rPr>
      <t>RECEPCIONISTA - CBO: 4221-05</t>
    </r>
    <r>
      <rPr>
        <sz val="14"/>
        <color theme="1"/>
        <rFont val="Arial"/>
        <family val="2"/>
        <charset val="1"/>
      </rPr>
      <t>, em jornada semanal de 44 (quarenta e quatro) horas.</t>
    </r>
  </si>
  <si>
    <t>DIÁRIA MOTORISTA</t>
  </si>
  <si>
    <t>DIÁRIA</t>
  </si>
  <si>
    <t>TOTAL ANUAL</t>
  </si>
  <si>
    <t>TOTAL MENSAL</t>
  </si>
  <si>
    <t>PLANILHA DE CUSTOS E FORMAÇÃO DE PREÇOS</t>
  </si>
  <si>
    <t>Licitação n°</t>
  </si>
  <si>
    <t>Discriminação dos Serviços (Dados Referente à Contratação)</t>
  </si>
  <si>
    <t>Data -  Apresentação da Proposta</t>
  </si>
  <si>
    <t>xx/02/2023</t>
  </si>
  <si>
    <t>Município - ISSQN</t>
  </si>
  <si>
    <t>ISSQN 5 % (cinco por cento)</t>
  </si>
  <si>
    <t>Ano Acordo, Convenção ou Dissídio Coletivo</t>
  </si>
  <si>
    <t>Número de Meses de Execução Contratual</t>
  </si>
  <si>
    <t>12 (doze) meses</t>
  </si>
  <si>
    <t>Identificação do Serviço</t>
  </si>
  <si>
    <t>Tipo de Serviço</t>
  </si>
  <si>
    <t>Unidade de Medida</t>
  </si>
  <si>
    <t>Quantidade Total a Contratar</t>
  </si>
  <si>
    <t>Pedreiro</t>
  </si>
  <si>
    <t>44 horas</t>
  </si>
  <si>
    <t>MTE</t>
  </si>
  <si>
    <t>7152-10</t>
  </si>
  <si>
    <t>SEAC-PB</t>
  </si>
  <si>
    <t>01/JANEIRO</t>
  </si>
  <si>
    <t>GRUPO VIII</t>
  </si>
  <si>
    <t>Adicional de Periculosidade*</t>
  </si>
  <si>
    <t>Adicional de Insalubridade*</t>
  </si>
  <si>
    <t>*Atentar às disposições estabelecidas no subitem 10.1.8 do Termo de Referência</t>
  </si>
  <si>
    <t>BASE DE CÁLCULO PARA O SUBMÓDULO 2.2</t>
  </si>
  <si>
    <t>MÓDULO 1</t>
  </si>
  <si>
    <t>MÓDULO 2.1</t>
  </si>
  <si>
    <t>TOTAL</t>
  </si>
  <si>
    <t>SAT (+FAP de 0,5 a 2,0) (Variação: 0,5% a 6 %)</t>
  </si>
  <si>
    <r>
      <rPr>
        <sz val="11"/>
        <color rgb="FF000000"/>
        <rFont val="Calibri"/>
        <family val="2"/>
        <charset val="1"/>
      </rPr>
      <t>Intervalo Intrajornada (</t>
    </r>
    <r>
      <rPr>
        <sz val="10"/>
        <color rgb="FF000000"/>
        <rFont val="Calibri"/>
        <family val="2"/>
        <charset val="1"/>
      </rPr>
      <t>não usufruído pelo empregado</t>
    </r>
    <r>
      <rPr>
        <sz val="11"/>
        <color rgb="FF000000"/>
        <rFont val="Calibri"/>
        <family val="2"/>
        <charset val="1"/>
      </rPr>
      <t>)</t>
    </r>
  </si>
  <si>
    <t>Benefício Odontológico</t>
  </si>
  <si>
    <t>Auxílio Morte/Funeral</t>
  </si>
  <si>
    <t>Plano de Assistência Familiar e Social</t>
  </si>
  <si>
    <t>Incidência de GPS, FGTS e outras contribuições sobre o Aviso Prévio Trabalhado</t>
  </si>
  <si>
    <t>BASE DE CÁLCULO PARA O MÓDULO 4</t>
  </si>
  <si>
    <t>MÓDULO 2</t>
  </si>
  <si>
    <t>MÓDULO 3</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</si>
  <si>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</si>
  <si>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</si>
  <si>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</si>
  <si>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</si>
  <si>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DIÁRIAS</t>
  </si>
  <si>
    <t>QUANTIDADE (ANUAL)</t>
  </si>
  <si>
    <t>VALOR UNITÁRIO</t>
  </si>
  <si>
    <t>VALOR TOTAL</t>
  </si>
  <si>
    <t>Uniformes e Equipamento de Proteção Individual - EPI</t>
  </si>
  <si>
    <t>Com Pernoite*</t>
  </si>
  <si>
    <t>Equipamentos de Proteção Coletiva - EPC</t>
  </si>
  <si>
    <t>Sem Pernoite*</t>
  </si>
  <si>
    <t>VALOR TOTAL MENSAL</t>
  </si>
  <si>
    <t>Diárias</t>
  </si>
  <si>
    <t>BASE DE CÁLCULO PARA O MÓDULO 6</t>
  </si>
  <si>
    <t>MÓDULO 4</t>
  </si>
  <si>
    <t>MÓDULO 5</t>
  </si>
  <si>
    <t>CÁLCULO POR DENTRO</t>
  </si>
  <si>
    <t>TOTAL DOS TRIBUTOS</t>
  </si>
  <si>
    <t>BASE DE CÁLCULO</t>
  </si>
  <si>
    <t>ÍNDICE</t>
  </si>
  <si>
    <t>C.1 - PIS</t>
  </si>
  <si>
    <t>C.2 - COFINS</t>
  </si>
  <si>
    <t>C.3 - ISS</t>
  </si>
  <si>
    <t>Subtotal (A + B + C + D + E)</t>
  </si>
  <si>
    <t>VALOR TOTAL POR EMPREGADO</t>
  </si>
  <si>
    <t>Eletricista</t>
  </si>
  <si>
    <t>7156-10</t>
  </si>
  <si>
    <t>Lei n.° 12.740/2012 – NR 16 Anexo IV</t>
  </si>
  <si>
    <t>Pintor</t>
  </si>
  <si>
    <t>7166-10</t>
  </si>
  <si>
    <t>5143-25</t>
  </si>
  <si>
    <t>Piscineiro</t>
  </si>
  <si>
    <t>5143-30</t>
  </si>
  <si>
    <t>Jardineiro</t>
  </si>
  <si>
    <t>6220-10</t>
  </si>
  <si>
    <t>GRUPO III</t>
  </si>
  <si>
    <t>xx/02/2022</t>
  </si>
  <si>
    <t>Cozinheira</t>
  </si>
  <si>
    <t>5132-05</t>
  </si>
  <si>
    <t>GRUPO I</t>
  </si>
  <si>
    <t>Auxiliar de Cozinha</t>
  </si>
  <si>
    <t>5135-05</t>
  </si>
  <si>
    <t>Recepcionista Secretária</t>
  </si>
  <si>
    <t>4221-05</t>
  </si>
  <si>
    <t>Motorista Interestadual</t>
  </si>
  <si>
    <t>UNIFORMES E EQUIPAMENTOS DE PROTEÇÃO INDIVIDUAL E COLETIVO</t>
  </si>
  <si>
    <t>PEDREIRO</t>
  </si>
  <si>
    <t>ITEM</t>
  </si>
  <si>
    <t>PEÇA</t>
  </si>
  <si>
    <t>DESCRIÇÃO</t>
  </si>
  <si>
    <t>UNIDADE</t>
  </si>
  <si>
    <t>VALOR MÉDIO UNITÁRIO (R$)</t>
  </si>
  <si>
    <t>QUANTIDADE ANUAL</t>
  </si>
  <si>
    <t>VALOR ANUAL POR EMPREGADO (R$)</t>
  </si>
  <si>
    <t>VALOR MENSAL POR EMPREGADO (R$)</t>
  </si>
  <si>
    <t>CALÇA</t>
  </si>
  <si>
    <t>Calça com cós de elástico, dois bolsos frontais e dois bolsos na traseira, confeccionado em brim 100% algodão, sem partes metálicas.</t>
  </si>
  <si>
    <t>CAMISA</t>
  </si>
  <si>
    <t>Camisa com gola tipo italiana, com mangas curtas, identificação da empresa na parte frontal, confeccionada em brim 100% algodão.</t>
  </si>
  <si>
    <t>BONÉ</t>
  </si>
  <si>
    <t>Boné árabe em brim 100% algodão para proteção da face em trabalhos a céu aberto.</t>
  </si>
  <si>
    <t>Par</t>
  </si>
  <si>
    <t>CALÇADO</t>
  </si>
  <si>
    <t>Calçado de segurança tipo botina, confeccionado em couro vaqueta, fechamento em elástico, com biqueira de aço, solado em poliuretano bidensidade.</t>
  </si>
  <si>
    <t>Calçado ocupacional de uso profissional, tipo bota PVC cano longo, impermeável, confeccionado em policloreto de vinila (PVC), com resistência química, sem biqueira, propriedades antiderrapantes, para uso em locais alagadiços.</t>
  </si>
  <si>
    <t>CRACHÁ</t>
  </si>
  <si>
    <t xml:space="preserve"> Crachá de identiﬁcação, em plástico rígido, contendo logomarca da empresa, foto e nome completo do funcionário.</t>
  </si>
  <si>
    <t>ÓCULOS</t>
  </si>
  <si>
    <t>Óculos de proteção individual com lentes incolor, armação em policarbonato, lente em policarbonato, anti-embaçante e anti-risco. Modelo de sobreposição (p/ser usado sobre óculos graduados).</t>
  </si>
  <si>
    <t>PROTETOR SOLAR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</si>
  <si>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</si>
  <si>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</si>
  <si>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ELETRICISTA</t>
  </si>
  <si>
    <t>Calça com cós de elástico, dois bolsos frontais e dois bolsos na traseira, confeccionado em tecido 100% algodão com tratamento retardante a chama, sem partes metálicas, com fitas refletivas nas pernas.</t>
  </si>
  <si>
    <t>Camisa com gola tipo italiana, com mangas longas e punhos americanos, com fitas refletivas na altura dos ombros e costas e identificação da empresa na parte frontal, confeccionadas em tecido 100% algodão com tratamento retardante a chama.</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</si>
  <si>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</si>
  <si>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LUVA</t>
  </si>
  <si>
    <t>Luva de segurança isolante em borracha para alta tensão 20Kv, classe 2, para tensão máxima de uso até 17.000V.</t>
  </si>
  <si>
    <t>PINTOR</t>
  </si>
  <si>
    <t>PISCINEIRO</t>
  </si>
  <si>
    <t>Proteção contra Respingos de Produtos Químicos e Proteção contra raios Ultraviolenteas, Com CA expedido MTE de acordo com a NR 6; Testados pela norma ANSI.Z.87.1/1989 da Fundacentro. Modelo de sobreposição (p/ser usado sobre óculos graduados).</t>
  </si>
  <si>
    <t>JARDINEIRO</t>
  </si>
  <si>
    <t>COZINHEIRA</t>
  </si>
  <si>
    <t>Sapato Babuche Fechado Profissional Trabalho Cozinha. Solado com frisos antiderrapantes para maior segurança. Produzido em Eva impermeável e flexível.</t>
  </si>
  <si>
    <t>Para proteção das mãos contra agentes cortantes: luvas em malha de aço.</t>
  </si>
  <si>
    <t>AVENTAL</t>
  </si>
  <si>
    <t>AUXILIAR DE COZINHA</t>
  </si>
  <si>
    <t>RECEPCIONISTA</t>
  </si>
  <si>
    <t>CALÇA SOCIAL</t>
  </si>
  <si>
    <t>CAMISA SOCIAL</t>
  </si>
  <si>
    <t>Camisa tipo Polo em Tecido Piquet; Corte: Masculino, Composição: 50% algodão e 50% poliéster, com gramatura mínima de 190 g/m², cor branca, com peitilho funcional de fechamento por dois botões. Gola e punhos em ribana - Composição: Elastano: 5%, Poliester: 95%, gramatura mínima de 210 g/m². Mangas com friso na cor predominante da logo da Contratada. Aplicação da marca frontal – logo da Contratada.</t>
  </si>
  <si>
    <t>MOTORISTA INTERESTADUAL</t>
  </si>
  <si>
    <t>Materiais para uso do Piscineiro</t>
  </si>
  <si>
    <t>Mensal</t>
  </si>
  <si>
    <t>Peça</t>
  </si>
  <si>
    <t>Quantidade Anual</t>
  </si>
  <si>
    <t>Preço Unitário</t>
  </si>
  <si>
    <t xml:space="preserve">Preço Total </t>
  </si>
  <si>
    <t>Cloro</t>
  </si>
  <si>
    <t>Clarificante</t>
  </si>
  <si>
    <t>Algicida</t>
  </si>
  <si>
    <t xml:space="preserve">Algicida Choque; 1 Litro; para manutenção de água de poço; Prevenir o aparecimento de algas em piscina de Alvenaria, Não contém cobre; não mancha revestimentos;  não deixa o cabelo verde. </t>
  </si>
  <si>
    <t xml:space="preserve">Algicida de Manutenção; 1 Litro; para manutenção de água de poço; Prevenir o aparecimento de algas em piscina de Alvenaria, Não contém cobre; não mancha revestimentos;  não deixa o cabelo verde. </t>
  </si>
  <si>
    <t>Redutor de Alcalinidade e pH age reduzindo a Alcalinidade e pH da água quando estão acima da faixa recomendada. 1 litro.</t>
  </si>
  <si>
    <t>Luvas</t>
  </si>
  <si>
    <t>Luvas em nitrílica para proteção contra agentes químicos, com punho reto de 33 cm de comprimento para trabalho de limpeza e manutenção.Possuir CA expedido pelo MTE de acordo com a NR 6.</t>
  </si>
  <si>
    <t>Preço Total Mensal</t>
  </si>
  <si>
    <t>Preço Total</t>
  </si>
  <si>
    <t>Semestral</t>
  </si>
  <si>
    <t>Máscara de Proteção</t>
  </si>
  <si>
    <t>Para proteção das vias respiratórias (PFF2) contra poeiras, névoas e fumos de acordo com o Anexo I da NR 6; Possuir CA expedido pelo MTE de acordo com a NR 6.</t>
  </si>
  <si>
    <t>Escova para piscina</t>
  </si>
  <si>
    <t>Escova de Plástico e Nylon 30 cm para piscina de Alvenaria, utilizada na limpeza das paredes, fundo e cantos.</t>
  </si>
  <si>
    <t>Preço Total Semestral</t>
  </si>
  <si>
    <t>Preço Total/6</t>
  </si>
  <si>
    <t>Anual</t>
  </si>
  <si>
    <t>Vara Telescópica</t>
  </si>
  <si>
    <t>Cabo Telescópico – 8 metros, fabricado em dois tubos corrugados de alumínio, com tamanho ajustável conforme necessidade.</t>
  </si>
  <si>
    <t>Aspirador de Piscina</t>
  </si>
  <si>
    <t>Aspirador plástico de fundo MEIA LUA com escova de nylon para sucção da sujeira presente no fundo da piscina. Para piscina de Alvenaria Tamanho: 25 cm</t>
  </si>
  <si>
    <t>Medidor de PH</t>
  </si>
  <si>
    <t>KIT TESTE PARA MEDIR PH E CLORO
Kit para analisar diariamente o pH e o residual de cloro na água da piscina. Escala de cores perfeitas que resulta em uma análise rápida, precisa e confiável dos parâmetros de cloro livre e pH.</t>
  </si>
  <si>
    <t>Mangueira</t>
  </si>
  <si>
    <t>Mangueira Flutuante, 25 metros, fabricada em EVA flexível transparente, reforçada com espiral de PP (Polipropileno) rígido, para limpeza de piscinas.</t>
  </si>
  <si>
    <t>Preço Total Anual</t>
  </si>
  <si>
    <t>Preço Total/12</t>
  </si>
  <si>
    <t>Materiais para uso do Jardineiro</t>
  </si>
  <si>
    <t>Kit Ferramentas para Jardim</t>
  </si>
  <si>
    <t>1 espátula longa, 1 espátula fina, 1 arejador tridente, 1 tesoura para talos e troncos, 1 tesoura para corte de flores, 1 borrifador e 1 bolsa de transporte</t>
  </si>
  <si>
    <t>Saco para muda</t>
  </si>
  <si>
    <t>Saco de plástico preto para mudas 10 X 20 Cm com 1.000 unidades (altura considerando a sanfona, altura útil 17cm)
Pacote com 1.000 sacos plásticos para mudas na cor preta na medida de 10cm (largura) x 20cm (altura). Produzido em plástico polietileno (PE) virgem ou recuperado.</t>
  </si>
  <si>
    <t>Equipamento para uso do Jardineiro</t>
  </si>
  <si>
    <t>Podador Elétrico</t>
  </si>
  <si>
    <t>Podador de cerca viva elétrico 600W, Pcv 600 e 220 Volts</t>
  </si>
  <si>
    <t>Roçadeira</t>
  </si>
  <si>
    <t xml:space="preserve"> Roçadeira lateral elétrica 220 volts recomendada para corte de grama e vegetação mais alta, podendo também ser utilizado o fio de nylon para acabamentos em jardins, borda de canteiros, rente a árvores, entre plantas e flores, calçadas, muros e demais obstáculos. Dados Técnicos
Motor com protetor térmico
Potência 1.200 Watts
Rotação 9.000 RPM
Largura do corte: 26cm
Peso 5 Kg
Itens inclusos: 1 carretel de nylon, lamina, protetor, cinto, manual e termo de garantia.</t>
  </si>
  <si>
    <t>Manutenção Mensal</t>
  </si>
  <si>
    <t>Depreciação mensal</t>
  </si>
  <si>
    <t>Custo Total dos Equipamentos (Manutenção + Depreciação)</t>
  </si>
  <si>
    <t>Custo Total dos Equipamentos</t>
  </si>
  <si>
    <r>
      <rPr>
        <b/>
        <sz val="11"/>
        <color theme="1"/>
        <rFont val="Calibri"/>
        <family val="2"/>
        <charset val="1"/>
      </rPr>
      <t>Manutenção de Equipamentos</t>
    </r>
    <r>
      <rPr>
        <sz val="11"/>
        <color theme="1"/>
        <rFont val="Calibri"/>
        <family val="2"/>
        <charset val="1"/>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x 0,5% a.m.;
</t>
    </r>
    <r>
      <rPr>
        <b/>
        <sz val="11"/>
        <color theme="1"/>
        <rFont val="Calibri"/>
        <family val="2"/>
        <charset val="1"/>
      </rPr>
      <t>Depreciação de Equipamentos:</t>
    </r>
    <r>
      <rPr>
        <sz val="11"/>
        <color theme="1"/>
        <rFont val="Calibri"/>
        <family val="2"/>
        <charset val="1"/>
      </rPr>
      <t xml:space="preserve"> Para o cálculo do insumo Depreciação de Equipamentos, adotou-se vida útil de 8 anos e valor residual de 20%, com base no Manual de Custos Rodoviários do DNIT, volume 1, de 2003.
Depreciação Mensal = [Valor total dos equipamentos x (1,00-0,20)]/(12x8);</t>
    </r>
  </si>
  <si>
    <t>QUANTIDADE ESTIMADA ANUAL DE DIÁRIAS</t>
  </si>
  <si>
    <t>VALOR TOTAL ESTIMADO</t>
  </si>
  <si>
    <t>(A)</t>
  </si>
  <si>
    <t>(B)</t>
  </si>
  <si>
    <t>(C)=(A) X (B)</t>
  </si>
  <si>
    <t>TRIBUTAÇÃO INCIDENTE</t>
  </si>
  <si>
    <t>FATURAMENTO</t>
  </si>
  <si>
    <t>VALOR UNITÁRIO DA DIÁRIA</t>
  </si>
  <si>
    <t>COEFICIENTE</t>
  </si>
  <si>
    <t>CUSTOS INDIRETOS E LUCRO</t>
  </si>
  <si>
    <t>PERCENTUAL</t>
  </si>
  <si>
    <t>VALOR</t>
  </si>
  <si>
    <t>CUSTOS INDIRETOS</t>
  </si>
  <si>
    <t>LUCRO</t>
  </si>
  <si>
    <t>SUBTOTAL</t>
  </si>
  <si>
    <t>TRIBUTOS SOBRE O FATURAMENTO*</t>
  </si>
  <si>
    <t>VALOR**</t>
  </si>
  <si>
    <t>*FATURAMENTO: Considera-se faturamento para o cálculo dos tributos: o valor da diária + (custos indiretos e lucro). Ex.: Os tributos foram
calculados por dentro utilizando o coeficiente (1 - 8,65% = 91,35% ou 0,9135).</t>
  </si>
  <si>
    <t>**((Vr. faturamento) / (0,9135)) x Percentual da alíquota do tributo.</t>
  </si>
  <si>
    <t>01/2025</t>
  </si>
  <si>
    <t>xx/xx/2025</t>
  </si>
  <si>
    <t>40 horas</t>
  </si>
  <si>
    <t>CAMISA PROTEÇÃO UV</t>
  </si>
  <si>
    <t xml:space="preserve">Camisa proteção uv 50: dimensões aproximadas: 78cm x (60cm estica até 66cm) x 52cm x 64cm*** perfis com altura entre 1,75 a 1,85m ,composição: 94% poliamida e 6% elastano; proteção uv, antimicrobial, seamless dry, proteção solar: com fps; </t>
  </si>
  <si>
    <t>CONJUNTO CAPA DE CHUVA</t>
  </si>
  <si>
    <t>Conjunto capa de chuva calça e camisa confeccionada em PVC com forro de poliéster, com mangas, capuz conjugado, fechamento frontal por meio de botões, fechamento das costuras através de solda eletrônica.</t>
  </si>
  <si>
    <t>Crachá de identiﬁcação, em cartão pvc, contendo logomarca da empresa, foto e nome completo do funcionário.</t>
  </si>
  <si>
    <t>Luvas de segurança confeccionada em suporte têxtil, revestida na face palmar e pontas dos dedos com látex, possui punho de segurança e formato anatômico.</t>
  </si>
  <si>
    <t>Protetor solar fator de proteção FPS 50 ou superior.</t>
  </si>
  <si>
    <t xml:space="preserve"> Crachá de identiﬁcação, em cartão pvc, contendo logomarca da empresa, foto e nome completo do funcionário.</t>
  </si>
  <si>
    <t>Luvas de segurança anti-choque isolantes em borracha com tolerância para baixa tensão de 400V</t>
  </si>
  <si>
    <t xml:space="preserve">Luva de segurança, com dedos e polegar em raspa natural e palma confeccionada em vaqueta natural. Possui reforço palmar interno em vaqueta natural e elástico no dorso, acabamento em viés e costurada com linha de nylon.
</t>
  </si>
  <si>
    <t>Calça com cós de elástico, e dois bolsos na traseira, confeccionado em brim 100% algodão, sem partes metálicas.</t>
  </si>
  <si>
    <t>Luva de segurança, com dedos e polegar em raspa natural e palma confeccionada em vaqueta natural. Possui reforço palmar interno em vaqueta natural e elástico no dorso, acabamento em viés e costurada com linha de nylon.</t>
  </si>
  <si>
    <t>Calça na cor branca, com dois bolsos frontais e dois bolsos traseiros. Composição: 84% algodão, 14% poliéster e 2% elastano.</t>
  </si>
  <si>
    <t>CAMISETA</t>
  </si>
  <si>
    <t>Camiseta na cor branca, confeccionada em tecido 100% algodão de alta qualidade. O material  não transparente, garantindo conforto, durabilidade.</t>
  </si>
  <si>
    <t>MÁSCARA</t>
  </si>
  <si>
    <t xml:space="preserve">Máscara tripla descartável com elástico e filtro, composta por uma camada de papel filtro branco fundido. Possui eficiência de filtragem BFE ≥ 95%, garantindo alta proteção e segurança.  </t>
  </si>
  <si>
    <t>Caixa 50 unidades</t>
  </si>
  <si>
    <t>Avental impermeável de PVC com forro em tecido de poliéster, na cor branca, com alça no pescoço e tiras para regulagem soldadas eletronicamente e utilizadas para ajuste nas costas.</t>
  </si>
  <si>
    <t>Conjunto capa de chuva calça e camisa confeccionada em PVC com forro de poliéster, com mangas, capuz conjugado, fechamento frontal por meio de botões, fechamento das costuras através de solda eletrônica</t>
  </si>
  <si>
    <t>Camisa social de mangas curtas, com detalhes na gola, na cor predominante da logomarca da Contratada. Tecido com no mínimo 50% de fibras naturais, contendo a identificação da Contratada.</t>
  </si>
  <si>
    <t>CALÇA JEANS</t>
  </si>
  <si>
    <t>Calça jeans em tecido 100% algodão, com dois bolsos frontais e dois bolsos traseiros.</t>
  </si>
  <si>
    <t>Camisa social de mangas  curtas, com detalhes na gola, na cor predominante da logomarca da Contratada, Corte: Masculino; Tecido com o mínimo de 50% de fibras naturais, contendo a identificação da Contratada.</t>
  </si>
  <si>
    <t>Camisa social de mangas  longas, com detalhes na gola e punho, na cor predominante da logomarca da Contratada, Corte: Masculino; Tecido com o mínimo de 50% de fibras naturais, contendo a identificação da Contratada.</t>
  </si>
  <si>
    <t>Camisa tipo Polo em Piquet de Malha – 50% algodão e 50% poliéster,  com mangas curtas, identificação da empresa na parte frontal.</t>
  </si>
  <si>
    <t>Cloro Estabilizado, Dicloro 65%, Alta concentração; 10 Kg, Para água de Poço, Eficaz para Eliminar Bactérias, Oxidar Matéria Orgânica, Inibir Odores, Prevenir Transmissão de Doenças.</t>
  </si>
  <si>
    <t>Cloro Estabilizado, Dicloro 56%, Alta concentração; 10 Kg, Para água de Poço, Eficaz para Eliminar Bactérias, Oxidar Matéria Orgânica, Inibir Odores, Prevenir Transmissão de Doenças.</t>
  </si>
  <si>
    <t>Clarificante para Piscinas é formulado para proporcionar uma água cristalina, com desempenho igual ou superior ao conhecido Maxfloc. Ele elimina partículas em suspensão, como poeira, resíduos orgânicos e outras impurezas, deixando a água da piscina mais clara.</t>
  </si>
  <si>
    <t>Redutor de Alcalinidade</t>
  </si>
  <si>
    <t>Sulfato de cobre</t>
  </si>
  <si>
    <t>Sulfato de Cobre é um composto mineral que serve como algicida em piscinas, eliminando e prevenindo o desenvolvimento de algas. Pacote com 10 Kg</t>
  </si>
  <si>
    <t>Reagente de PH</t>
  </si>
  <si>
    <t>Projetado para análises semanais, contribui para a estabilidade do pH, melhorando a eficácia dos produtos de tratamento e a qualidade da água da piscina.</t>
  </si>
  <si>
    <t>Reagente de alcalinidade</t>
  </si>
  <si>
    <t>Projetado para análises semanais, contribui para a estabilidade do alcalinidade, melhorando a eficácia dos produtos de tratamento e a qualidade da água da piscina.</t>
  </si>
  <si>
    <t>Escova reta cerdas aço inox 25cm para piscina de Alvenaria, utilizada na limpeza das paredes, fundo e cantos.</t>
  </si>
  <si>
    <t>Óleo lubrificante 2 tempos</t>
  </si>
  <si>
    <t>Óleo lubrificante mineral recomendado para motores 2 tempos, motosserras, cortadores de grama roçadeiras 1 litro</t>
  </si>
  <si>
    <t xml:space="preserve"> Tesoura para poda de cercas-vivas</t>
  </si>
  <si>
    <t>Tesoura para poda de cercas-vivas, com 56 cm de comprimento total. Possui cabo ergonômico em alumínio e parafuso tipo catraca para regulagem do espaço entre as lâminas. Conta com lâmina ondulada em aço carbono teflonado, batentes robustos e flexíveis, e cabo telescópico de aço oval com empunhadura ergonômica antiderrapante. Diâmetro de corte: 8 mm. Ângulo de corte: 45° (podendo variar até 5°).</t>
  </si>
  <si>
    <t>Tesoura para poda de árvores</t>
  </si>
  <si>
    <t>Tesoura ideal para serviços pesados de poda em árvores, com 72 cm de comprimento. Possui lâmina em aço carbono teflonado, batentes robustos e flexíveis, e cabos em tubos ovais de aço com empunhadura ergonômica antiderrapante. Diâmetro de corte: 24 mm. Ângulo de corte: 45° (podendo variar até 5°).</t>
  </si>
  <si>
    <t>Cultivador duplo</t>
  </si>
  <si>
    <t>Cultivador duplo manual para jardinagem, ideal para manter o seu jardim em ordem. Material do cabo: plástico. Material da pá: aço. Função: carpina canteiros e picar a terra. Dimensões aproximadas: 29 x 8 x 17 cm.</t>
  </si>
  <si>
    <t>Fio de Nylon</t>
  </si>
  <si>
    <t xml:space="preserve">Fio De Nylon Amarelo Quadrado 3,0mm rolo com 100 metros </t>
  </si>
  <si>
    <t xml:space="preserve">Quantidade </t>
  </si>
  <si>
    <t xml:space="preserve">Soprador de Folhas </t>
  </si>
  <si>
    <t>Soprador de folhas costal ideal para limpeza de grandes áreas externas. Equipado com um motor 2 tempos de 1,9 cv (HP), cilindrada de 51,7 cc, volume de ar de 800 m³/h, capacidade do tanque de 1,3 litros, peso de 7,3 kg e dimensões de 41 cm (altura) x 42 cm (largura) x 174 cm (comprimento).</t>
  </si>
  <si>
    <t>CCT PB000113/2025</t>
  </si>
  <si>
    <t>7824-05</t>
  </si>
  <si>
    <t>Técnico em Manutenção (Oficial de manutenção) Grupo VII CCT</t>
  </si>
  <si>
    <r>
      <t xml:space="preserve">PRESTAÇÃO DE SERVIÇOS DE APOIO ADMINISTRATIVO - Posto de serviços: </t>
    </r>
    <r>
      <rPr>
        <b/>
        <sz val="14"/>
        <color theme="1"/>
        <rFont val="Arial"/>
        <family val="2"/>
        <charset val="1"/>
      </rPr>
      <t>TÉCNICO EM MANUTENÇÃO (Oficial em Manutenção) - CBO: 5143-25</t>
    </r>
    <r>
      <rPr>
        <sz val="14"/>
        <color theme="1"/>
        <rFont val="Arial"/>
        <family val="2"/>
        <charset val="1"/>
      </rPr>
      <t>, em jornada semanal de 44 (quarenta e quatro) horas.</t>
    </r>
  </si>
  <si>
    <r>
      <t>Processo Administrativo n.°</t>
    </r>
    <r>
      <rPr>
        <sz val="11"/>
        <color rgb="FF000000"/>
        <rFont val="Calibri"/>
        <family val="2"/>
        <charset val="1"/>
      </rPr>
      <t xml:space="preserve"> 23324.000830.2025-46</t>
    </r>
  </si>
  <si>
    <t>TÉCNICO EM MANUTENÇÃO</t>
  </si>
  <si>
    <t>Luva de vaqueta para cobertura vulcanizada serve para proteger e aumentar a durabilidade das luvas de borracha isolantes de baixa e alta tensão.</t>
  </si>
  <si>
    <t>Sapato Cor preta, tipo social, de couro.</t>
  </si>
  <si>
    <t xml:space="preserve">Calça Modelo Social, em tecido microfibra, com braguilha forrada, dois bolsos laterais, dois bolsos traseiros e presilhas para cinto. </t>
  </si>
  <si>
    <t>Valor Mensal Total dos materiais</t>
  </si>
  <si>
    <t>* Valores estabelecidos em conformidade com as disposição da CCT n.° PB 000113/2025</t>
  </si>
  <si>
    <r>
      <t xml:space="preserve">PRESTAÇÃO DE SERVIÇOS DE APOIO ADMINISTRATIVO - Posto de serviços: </t>
    </r>
    <r>
      <rPr>
        <b/>
        <sz val="14"/>
        <color theme="1"/>
        <rFont val="Arial"/>
        <family val="2"/>
        <charset val="1"/>
      </rPr>
      <t>ELETRICISTA - CBO: 9511-05</t>
    </r>
    <r>
      <rPr>
        <sz val="14"/>
        <color theme="1"/>
        <rFont val="Arial"/>
        <family val="2"/>
        <charset val="1"/>
      </rPr>
      <t>, em jornada semanal de 44 (quarenta e quatro) horas.</t>
    </r>
  </si>
  <si>
    <r>
      <t xml:space="preserve">PRESTAÇÃO DE SERVIÇOS DE APOIO ADMINISTRATIVO - Posto de serviços: </t>
    </r>
    <r>
      <rPr>
        <b/>
        <sz val="14"/>
        <color theme="1"/>
        <rFont val="Arial"/>
        <family val="2"/>
        <charset val="1"/>
      </rPr>
      <t>MOTORISTA RODOVIÁRIO INTERESTADUAL - CBO: 7824-05</t>
    </r>
    <r>
      <rPr>
        <sz val="14"/>
        <color theme="1"/>
        <rFont val="Arial"/>
        <family val="2"/>
        <charset val="1"/>
      </rPr>
      <t>, em jornada semanal de 44 (quarenta e quatro) horas.</t>
    </r>
  </si>
  <si>
    <r>
      <t xml:space="preserve">PRESTAÇÃO DE SERVIÇOS DE APOIO ADMINISTRATIVO - Posto de serviços: </t>
    </r>
    <r>
      <rPr>
        <b/>
        <sz val="14"/>
        <color theme="1"/>
        <rFont val="Arial"/>
        <family val="2"/>
        <charset val="1"/>
      </rPr>
      <t>JARDINEIRO - CBO: 6220-10</t>
    </r>
    <r>
      <rPr>
        <sz val="14"/>
        <color theme="1"/>
        <rFont val="Arial"/>
        <family val="2"/>
        <charset val="1"/>
      </rPr>
      <t>, em jornada semanal de 40 (quarenta) horas.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</si>
</sst>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quot;R$ &quot;* #,##0.00_-;&quot;-R$ &quot;* #,##0.00_-;_-&quot;R$ &quot;* \-??_-;_-@_-"/>
    <numFmt numFmtId="165" formatCode="&quot;R$&quot;#,##0.00"/>
    <numFmt numFmtId="166" formatCode="&quot;R$ &quot;#,##0.00"/>
    <numFmt numFmtId="167" formatCode="[$R$-416]\ #,##0.00;[Red]\-[$R$-416]\ #,##0.00"/>
    <numFmt numFmtId="168" formatCode="d/m/yyyy"/>
    <numFmt numFmtId="169" formatCode="&quot;R$&quot;#,##0.00_);[Red]&quot;(R$&quot;#,##0.00\)"/>
    <numFmt numFmtId="170" formatCode="0.00_ "/>
    <numFmt numFmtId="171" formatCode="0.0000_ "/>
    <numFmt numFmtId="172" formatCode="&quot;R$ &quot;#,##0.00_);[Red]&quot;(R$ &quot;#,##0.00\)"/>
    <numFmt numFmtId="173" formatCode="_-[$R$-416]* #,##0.00_-;\-[$R$-416]* #,##0.00_-;_-[$R$-416]* \-??_-;_-@_-"/>
    <numFmt numFmtId="174" formatCode="_-&quot;R$&quot;* #,##0.00_-;&quot;-R$&quot;* #,##0.00_-;_-&quot;R$&quot;* \-??_-;_-@_-"/>
  </numFmts>
  <fonts count="57">
    <font>
      <sz val="11"/>
      <color rgb="FF000000"/>
      <name val="Calibri"/>
      <charset val="134"/>
    </font>
    <font>
      <b/>
      <sz val="11"/>
      <color rgb="FF000000"/>
      <name val="Calibri"/>
      <family val="2"/>
      <charset val="1"/>
    </font>
    <font>
      <sz val="11"/>
      <color rgb="FF000000"/>
      <name val="Calibri"/>
      <family val="2"/>
      <charset val="1"/>
    </font>
    <font>
      <u/>
      <sz val="11"/>
      <color rgb="FFF4B183"/>
      <name val="Calibri"/>
      <family val="2"/>
      <charset val="1"/>
    </font>
    <font>
      <i/>
      <sz val="11"/>
      <color rgb="FF000000"/>
      <name val="Calibri"/>
      <family val="2"/>
      <charset val="1"/>
    </font>
    <font>
      <b/>
      <sz val="11"/>
      <color rgb="FFFFFFFF"/>
      <name val="Calibri"/>
      <family val="2"/>
      <charset val="1"/>
    </font>
    <font>
      <sz val="11"/>
      <color rgb="FFFFFFFF"/>
      <name val="Calibri"/>
      <family val="2"/>
      <charset val="1"/>
    </font>
    <font>
      <sz val="10"/>
      <name val="Arial"/>
      <family val="2"/>
    </font>
    <font>
      <b/>
      <sz val="14"/>
      <color theme="1"/>
      <name val="Arial"/>
      <family val="2"/>
      <charset val="1"/>
    </font>
    <font>
      <sz val="14"/>
      <color theme="1"/>
      <name val="Arial"/>
      <family val="2"/>
      <charset val="1"/>
    </font>
    <font>
      <sz val="16"/>
      <color theme="1"/>
      <name val="Arial"/>
      <family val="2"/>
      <charset val="1"/>
    </font>
    <font>
      <sz val="14"/>
      <color rgb="FF000000"/>
      <name val="Calibri"/>
      <charset val="134"/>
    </font>
    <font>
      <b/>
      <sz val="14"/>
      <color rgb="FF000000"/>
      <name val="Arial"/>
      <family val="2"/>
      <charset val="1"/>
    </font>
    <font>
      <b/>
      <sz val="14"/>
      <color rgb="FFFFFFFF"/>
      <name val="Calibri"/>
      <family val="2"/>
      <charset val="1"/>
    </font>
    <font>
      <sz val="9"/>
      <color rgb="FF000000"/>
      <name val="Calibri"/>
      <family val="2"/>
      <charset val="1"/>
    </font>
    <font>
      <i/>
      <sz val="8"/>
      <color rgb="FFFF0000"/>
      <name val="Calibri"/>
      <family val="2"/>
      <charset val="1"/>
    </font>
    <font>
      <sz val="10"/>
      <color rgb="FF000000"/>
      <name val="Calibri"/>
      <family val="2"/>
      <charset val="1"/>
    </font>
    <font>
      <sz val="11"/>
      <name val="Calibri"/>
      <family val="2"/>
      <charset val="1"/>
    </font>
    <font>
      <sz val="11"/>
      <color theme="0"/>
      <name val="Calibri"/>
      <family val="2"/>
      <charset val="1"/>
    </font>
    <font>
      <sz val="11"/>
      <color rgb="FFF4B183"/>
      <name val="Calibri"/>
      <family val="2"/>
      <charset val="1"/>
    </font>
    <font>
      <b/>
      <i/>
      <sz val="11"/>
      <name val="Calibri"/>
      <family val="2"/>
      <charset val="1"/>
    </font>
    <font>
      <sz val="8"/>
      <color rgb="FF000000"/>
      <name val="Calibri"/>
      <family val="2"/>
      <charset val="1"/>
    </font>
    <font>
      <b/>
      <sz val="16"/>
      <color rgb="FF000000"/>
      <name val="Calibri"/>
      <family val="2"/>
      <charset val="1"/>
    </font>
    <font>
      <b/>
      <sz val="11"/>
      <color theme="0"/>
      <name val="Arial"/>
      <family val="2"/>
      <charset val="1"/>
    </font>
    <font>
      <b/>
      <sz val="11"/>
      <name val="Arial"/>
      <family val="2"/>
      <charset val="1"/>
    </font>
    <font>
      <b/>
      <sz val="11"/>
      <color rgb="FF000000"/>
      <name val="Arial"/>
      <family val="2"/>
      <charset val="1"/>
    </font>
    <font>
      <sz val="11"/>
      <name val="Arial"/>
      <family val="2"/>
      <charset val="1"/>
    </font>
    <font>
      <b/>
      <i/>
      <sz val="11"/>
      <color rgb="FF000000"/>
      <name val="Arial"/>
      <family val="2"/>
      <charset val="1"/>
    </font>
    <font>
      <sz val="11"/>
      <color rgb="FF000000"/>
      <name val="Arial"/>
      <family val="2"/>
      <charset val="1"/>
    </font>
    <font>
      <b/>
      <u/>
      <sz val="16"/>
      <color theme="1"/>
      <name val="Calibri"/>
      <family val="2"/>
      <charset val="1"/>
    </font>
    <font>
      <sz val="12"/>
      <color rgb="FF000000"/>
      <name val="Calibri"/>
      <family val="2"/>
      <charset val="1"/>
    </font>
    <font>
      <b/>
      <sz val="10"/>
      <color theme="0"/>
      <name val="Arial"/>
      <family val="2"/>
      <charset val="1"/>
    </font>
    <font>
      <b/>
      <sz val="10"/>
      <color theme="1"/>
      <name val="Arial"/>
      <family val="2"/>
      <charset val="1"/>
    </font>
    <font>
      <sz val="10"/>
      <color theme="1"/>
      <name val="Arial"/>
      <family val="2"/>
      <charset val="1"/>
    </font>
    <font>
      <b/>
      <sz val="16"/>
      <color theme="1"/>
      <name val="Calibri"/>
      <family val="2"/>
      <charset val="1"/>
    </font>
    <font>
      <b/>
      <sz val="14"/>
      <color theme="0"/>
      <name val="Arial"/>
      <family val="2"/>
      <charset val="1"/>
    </font>
    <font>
      <sz val="9"/>
      <color theme="1"/>
      <name val="Arial"/>
      <family val="2"/>
      <charset val="1"/>
    </font>
    <font>
      <b/>
      <sz val="9"/>
      <color theme="1"/>
      <name val="Arial"/>
      <family val="2"/>
      <charset val="1"/>
    </font>
    <font>
      <b/>
      <sz val="14"/>
      <color theme="1"/>
      <name val="Calibri"/>
      <family val="2"/>
      <charset val="1"/>
    </font>
    <font>
      <b/>
      <sz val="11"/>
      <color theme="1"/>
      <name val="Calibri"/>
      <family val="2"/>
      <charset val="1"/>
    </font>
    <font>
      <sz val="11"/>
      <color theme="1"/>
      <name val="Calibri"/>
      <family val="2"/>
      <charset val="1"/>
    </font>
    <font>
      <b/>
      <sz val="12"/>
      <name val="Calibri"/>
      <family val="2"/>
      <charset val="1"/>
    </font>
    <font>
      <b/>
      <sz val="15"/>
      <color theme="3"/>
      <name val="Calibri"/>
      <family val="2"/>
      <charset val="1"/>
    </font>
    <font>
      <sz val="11"/>
      <color rgb="FF800000"/>
      <name val="Calibri"/>
      <family val="2"/>
      <charset val="1"/>
    </font>
    <font>
      <sz val="12"/>
      <name val="Calibri"/>
      <family val="2"/>
      <charset val="1"/>
    </font>
    <font>
      <b/>
      <sz val="12"/>
      <color theme="0"/>
      <name val="Calibri"/>
      <family val="2"/>
      <charset val="1"/>
    </font>
    <font>
      <sz val="12"/>
      <color rgb="FF800000"/>
      <name val="Calibri"/>
      <family val="2"/>
      <charset val="1"/>
    </font>
    <font>
      <i/>
      <sz val="11"/>
      <name val="Arial"/>
      <family val="2"/>
    </font>
    <font>
      <i/>
      <sz val="11"/>
      <name val="Arial"/>
    </font>
    <font>
      <sz val="11"/>
      <name val="Arial"/>
      <family val="2"/>
    </font>
    <font>
      <sz val="11"/>
      <name val="Arial"/>
    </font>
    <font>
      <sz val="10"/>
      <color theme="1"/>
      <name val="Arial"/>
      <family val="2"/>
    </font>
    <font>
      <sz val="9"/>
      <color theme="1"/>
      <name val="Arial"/>
      <family val="2"/>
    </font>
    <font>
      <b/>
      <sz val="10"/>
      <color theme="1"/>
      <name val="Arial"/>
      <family val="2"/>
    </font>
    <font>
      <sz val="11"/>
      <color rgb="FF000000"/>
      <name val="Calibri"/>
      <family val="2"/>
    </font>
    <font>
      <b/>
      <sz val="11"/>
      <name val="Arial"/>
      <family val="2"/>
    </font>
    <font>
      <b/>
      <sz val="11"/>
      <color rgb="FF000000"/>
      <name val="Calibri"/>
      <family val="2"/>
    </font>
  </fonts>
  <fills count="13">
    <fill>
      <patternFill patternType="none"/>
    </fill>
    <fill>
      <patternFill patternType="gray125"/>
    </fill>
    <fill>
      <patternFill patternType="solid">
        <fgColor rgb="FFF2F2F2"/>
        <bgColor rgb="FFE2F0D9"/>
      </patternFill>
    </fill>
    <fill>
      <patternFill patternType="solid">
        <fgColor rgb="FFF4B183"/>
        <bgColor rgb="FFFF99CC"/>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E2F0D9"/>
        <bgColor rgb="FFF2F2F2"/>
      </patternFill>
    </fill>
    <fill>
      <patternFill patternType="solid">
        <fgColor theme="0" tint="-0.499984740745262"/>
        <bgColor rgb="FF70AD47"/>
      </patternFill>
    </fill>
    <fill>
      <patternFill patternType="solid">
        <fgColor theme="5"/>
        <bgColor rgb="FFFF8080"/>
      </patternFill>
    </fill>
    <fill>
      <patternFill patternType="solid">
        <fgColor theme="5" tint="0.59999389629810485"/>
        <bgColor rgb="FFFF99CC"/>
      </patternFill>
    </fill>
    <fill>
      <patternFill patternType="solid">
        <fgColor theme="5" tint="0.59999389629810485"/>
        <bgColor indexed="64"/>
      </patternFill>
    </fill>
    <fill>
      <patternFill patternType="solid">
        <fgColor theme="9" tint="0.79998168889431442"/>
        <bgColor indexed="64"/>
      </patternFill>
    </fill>
  </fills>
  <borders count="31">
    <border>
      <left/>
      <right/>
      <top/>
      <bottom/>
      <diagonal/>
    </border>
    <border>
      <left/>
      <right/>
      <top/>
      <bottom style="thick">
        <color theme="4"/>
      </bottom>
      <diagonal/>
    </border>
    <border>
      <left/>
      <right/>
      <top/>
      <bottom style="thin">
        <color auto="1"/>
      </bottom>
      <diagonal/>
    </border>
    <border>
      <left style="thin">
        <color auto="1"/>
      </left>
      <right style="thin">
        <color auto="1"/>
      </right>
      <top style="thin">
        <color auto="1"/>
      </top>
      <bottom/>
      <diagonal/>
    </border>
    <border>
      <left/>
      <right/>
      <top/>
      <bottom style="thin">
        <color rgb="FFFFFFFF"/>
      </bottom>
      <diagonal/>
    </border>
    <border>
      <left style="thin">
        <color auto="1"/>
      </left>
      <right style="thin">
        <color auto="1"/>
      </right>
      <top style="thin">
        <color auto="1"/>
      </top>
      <bottom style="thin">
        <color auto="1"/>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style="thin">
        <color rgb="FFFFFFFF"/>
      </right>
      <top style="thick">
        <color rgb="FFFFFFFF"/>
      </top>
      <bottom style="thin">
        <color rgb="FFFFFFFF"/>
      </bottom>
      <diagonal/>
    </border>
    <border>
      <left style="thin">
        <color rgb="FFFFFFFF"/>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bottom style="thick">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style="thin">
        <color rgb="FFFFFFFF"/>
      </right>
      <top style="thin">
        <color rgb="FFFFFFFF"/>
      </top>
      <bottom/>
      <diagonal/>
    </border>
    <border>
      <left style="thin">
        <color rgb="FFFFFFFF"/>
      </left>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style="medium">
        <color auto="1"/>
      </left>
      <right style="medium">
        <color auto="1"/>
      </right>
      <top style="medium">
        <color auto="1"/>
      </top>
      <bottom style="thick">
        <color theme="4"/>
      </bottom>
      <diagonal/>
    </border>
    <border>
      <left style="medium">
        <color auto="1"/>
      </left>
      <right/>
      <top/>
      <bottom style="thick">
        <color theme="4"/>
      </bottom>
      <diagonal/>
    </border>
    <border>
      <left/>
      <right style="medium">
        <color auto="1"/>
      </right>
      <top style="thick">
        <color theme="4"/>
      </top>
      <bottom style="thick">
        <color theme="4"/>
      </bottom>
      <diagonal/>
    </border>
    <border>
      <left style="medium">
        <color auto="1"/>
      </left>
      <right/>
      <top/>
      <bottom/>
      <diagonal/>
    </border>
    <border>
      <left/>
      <right style="medium">
        <color auto="1"/>
      </right>
      <top/>
      <bottom/>
      <diagonal/>
    </border>
    <border>
      <left/>
      <right style="medium">
        <color auto="1"/>
      </right>
      <top/>
      <bottom style="thick">
        <color theme="4"/>
      </bottom>
      <diagonal/>
    </border>
    <border>
      <left style="medium">
        <color auto="1"/>
      </left>
      <right/>
      <top style="thick">
        <color theme="4"/>
      </top>
      <bottom/>
      <diagonal/>
    </border>
    <border>
      <left style="medium">
        <color auto="1"/>
      </left>
      <right style="medium">
        <color auto="1"/>
      </right>
      <top style="thick">
        <color theme="4"/>
      </top>
      <bottom style="thick">
        <color theme="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4">
    <xf numFmtId="0" fontId="0" fillId="0" borderId="0"/>
    <xf numFmtId="164" fontId="2" fillId="0" borderId="0" applyBorder="0" applyProtection="0"/>
    <xf numFmtId="9" fontId="2" fillId="0" borderId="0" applyBorder="0" applyProtection="0"/>
    <xf numFmtId="0" fontId="42" fillId="0" borderId="1" applyProtection="0"/>
  </cellStyleXfs>
  <cellXfs count="249">
    <xf numFmtId="0" fontId="0" fillId="0" borderId="0" xfId="0"/>
    <xf numFmtId="0" fontId="0" fillId="0" borderId="0" xfId="0" applyAlignment="1">
      <alignment horizontal="center"/>
    </xf>
    <xf numFmtId="164" fontId="0" fillId="3" borderId="0" xfId="1" applyFont="1" applyFill="1" applyBorder="1" applyAlignment="1" applyProtection="1">
      <alignment horizontal="center"/>
    </xf>
    <xf numFmtId="165" fontId="0" fillId="3" borderId="0" xfId="0" applyNumberFormat="1" applyFill="1" applyAlignment="1">
      <alignment horizontal="center"/>
    </xf>
    <xf numFmtId="0" fontId="0" fillId="3" borderId="0" xfId="0" applyFill="1" applyAlignment="1">
      <alignment horizontal="center"/>
    </xf>
    <xf numFmtId="9" fontId="0" fillId="3" borderId="0" xfId="0" applyNumberFormat="1" applyFill="1" applyAlignment="1">
      <alignment horizontal="center"/>
    </xf>
    <xf numFmtId="10" fontId="0" fillId="0" borderId="0" xfId="0" applyNumberFormat="1"/>
    <xf numFmtId="166" fontId="0" fillId="0" borderId="0" xfId="0" applyNumberFormat="1" applyAlignment="1">
      <alignment horizontal="center"/>
    </xf>
    <xf numFmtId="10" fontId="0" fillId="3" borderId="0" xfId="2" applyNumberFormat="1" applyFont="1" applyFill="1" applyBorder="1" applyProtection="1"/>
    <xf numFmtId="10" fontId="0" fillId="0" borderId="0" xfId="2" applyNumberFormat="1" applyFont="1" applyBorder="1" applyProtection="1"/>
    <xf numFmtId="0" fontId="1" fillId="0" borderId="0" xfId="0" applyFont="1" applyAlignment="1">
      <alignment horizontal="center" vertical="center"/>
    </xf>
    <xf numFmtId="0" fontId="1" fillId="0" borderId="0" xfId="0" applyFont="1" applyAlignment="1">
      <alignment vertical="center"/>
    </xf>
    <xf numFmtId="0" fontId="0" fillId="0" borderId="0" xfId="0" applyAlignment="1">
      <alignment horizontal="center" vertical="center"/>
    </xf>
    <xf numFmtId="0" fontId="0" fillId="0" borderId="0" xfId="0"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xf>
    <xf numFmtId="0" fontId="0" fillId="0" borderId="0" xfId="0" applyAlignment="1">
      <alignment vertical="center"/>
    </xf>
    <xf numFmtId="10" fontId="0" fillId="0" borderId="0" xfId="2" applyNumberFormat="1" applyFont="1" applyBorder="1" applyAlignment="1" applyProtection="1">
      <alignment horizontal="center"/>
    </xf>
    <xf numFmtId="10" fontId="0" fillId="0" borderId="0" xfId="0" applyNumberFormat="1" applyAlignment="1">
      <alignment horizontal="center"/>
    </xf>
    <xf numFmtId="166" fontId="0" fillId="0" borderId="0" xfId="0" applyNumberFormat="1" applyAlignment="1">
      <alignment horizontal="center" vertical="center" wrapText="1"/>
    </xf>
    <xf numFmtId="0" fontId="6" fillId="4" borderId="0" xfId="0" applyFont="1" applyFill="1"/>
    <xf numFmtId="166" fontId="6" fillId="4" borderId="0" xfId="0" applyNumberFormat="1" applyFont="1" applyFill="1" applyAlignment="1">
      <alignment horizontal="center"/>
    </xf>
    <xf numFmtId="0" fontId="9" fillId="0" borderId="5" xfId="0" applyFont="1" applyBorder="1" applyAlignment="1">
      <alignment horizontal="center" vertical="center" wrapText="1"/>
    </xf>
    <xf numFmtId="0" fontId="9" fillId="0" borderId="5" xfId="0" applyFont="1" applyBorder="1" applyAlignment="1">
      <alignment horizontal="center" vertical="center"/>
    </xf>
    <xf numFmtId="0" fontId="9" fillId="0" borderId="5" xfId="0" applyFont="1" applyBorder="1" applyAlignment="1">
      <alignment horizontal="justify" vertical="center" wrapText="1"/>
    </xf>
    <xf numFmtId="164" fontId="10" fillId="0" borderId="5" xfId="0" applyNumberFormat="1" applyFont="1" applyBorder="1" applyAlignment="1">
      <alignment horizontal="center" vertical="center"/>
    </xf>
    <xf numFmtId="167" fontId="0" fillId="0" borderId="0" xfId="0" applyNumberFormat="1"/>
    <xf numFmtId="0" fontId="9" fillId="0" borderId="5" xfId="0" applyFont="1" applyBorder="1" applyAlignment="1">
      <alignment vertical="center"/>
    </xf>
    <xf numFmtId="164" fontId="10" fillId="0" borderId="5" xfId="0" applyNumberFormat="1" applyFont="1" applyBorder="1" applyAlignment="1">
      <alignment vertical="center"/>
    </xf>
    <xf numFmtId="0" fontId="0" fillId="0" borderId="5" xfId="0" applyBorder="1"/>
    <xf numFmtId="0" fontId="11" fillId="0" borderId="5" xfId="0" applyFont="1" applyBorder="1"/>
    <xf numFmtId="164" fontId="12" fillId="0" borderId="5" xfId="0" applyNumberFormat="1" applyFont="1" applyBorder="1"/>
    <xf numFmtId="0" fontId="1" fillId="6" borderId="0" xfId="0" applyFont="1" applyFill="1" applyAlignment="1">
      <alignment horizontal="left" vertical="center" wrapText="1"/>
    </xf>
    <xf numFmtId="49" fontId="0" fillId="6" borderId="0" xfId="0" applyNumberFormat="1" applyFill="1" applyAlignment="1">
      <alignment horizontal="left"/>
    </xf>
    <xf numFmtId="0" fontId="0" fillId="6" borderId="0" xfId="0" applyFill="1" applyAlignment="1">
      <alignment horizontal="left"/>
    </xf>
    <xf numFmtId="0" fontId="1" fillId="0" borderId="0" xfId="0" applyFont="1" applyAlignment="1">
      <alignment horizontal="left" vertical="center"/>
    </xf>
    <xf numFmtId="0" fontId="0" fillId="0" borderId="0" xfId="0" applyAlignment="1">
      <alignment horizontal="left"/>
    </xf>
    <xf numFmtId="0" fontId="0" fillId="5" borderId="8" xfId="0" applyFill="1" applyBorder="1" applyAlignment="1">
      <alignment horizontal="center" vertical="center"/>
    </xf>
    <xf numFmtId="0" fontId="0" fillId="5" borderId="9" xfId="0" applyFill="1" applyBorder="1"/>
    <xf numFmtId="0" fontId="0" fillId="7" borderId="10" xfId="0" applyFill="1" applyBorder="1" applyAlignment="1">
      <alignment horizontal="center" vertical="center"/>
    </xf>
    <xf numFmtId="0" fontId="0" fillId="7" borderId="11" xfId="0" applyFill="1" applyBorder="1"/>
    <xf numFmtId="0" fontId="0" fillId="3" borderId="11" xfId="0" applyFill="1" applyBorder="1" applyAlignment="1">
      <alignment horizontal="center"/>
    </xf>
    <xf numFmtId="0" fontId="0" fillId="5" borderId="10" xfId="0" applyFill="1" applyBorder="1" applyAlignment="1">
      <alignment horizontal="center" vertical="center"/>
    </xf>
    <xf numFmtId="0" fontId="0" fillId="5" borderId="11" xfId="0" applyFill="1" applyBorder="1"/>
    <xf numFmtId="0" fontId="5" fillId="4" borderId="6" xfId="0" applyFont="1" applyFill="1" applyBorder="1" applyAlignment="1">
      <alignment horizontal="center"/>
    </xf>
    <xf numFmtId="0" fontId="5" fillId="4" borderId="13" xfId="0" applyFont="1" applyFill="1" applyBorder="1" applyAlignment="1">
      <alignment horizontal="center"/>
    </xf>
    <xf numFmtId="0" fontId="0" fillId="3" borderId="14" xfId="0" applyFill="1" applyBorder="1" applyAlignment="1">
      <alignment horizontal="center"/>
    </xf>
    <xf numFmtId="166" fontId="0" fillId="3" borderId="14" xfId="0" applyNumberFormat="1" applyFill="1" applyBorder="1" applyAlignment="1">
      <alignment horizontal="center"/>
    </xf>
    <xf numFmtId="0" fontId="14" fillId="3" borderId="0" xfId="0" applyFont="1" applyFill="1" applyAlignment="1">
      <alignment horizontal="center"/>
    </xf>
    <xf numFmtId="166" fontId="0" fillId="3" borderId="0" xfId="0" applyNumberFormat="1" applyFill="1" applyAlignment="1">
      <alignment horizontal="center"/>
    </xf>
    <xf numFmtId="49" fontId="0" fillId="3" borderId="0" xfId="0" applyNumberFormat="1" applyFill="1" applyAlignment="1">
      <alignment horizontal="center"/>
    </xf>
    <xf numFmtId="0" fontId="15" fillId="0" borderId="0" xfId="0" applyFont="1"/>
    <xf numFmtId="0" fontId="1" fillId="5" borderId="9" xfId="0" applyFont="1" applyFill="1" applyBorder="1" applyAlignment="1">
      <alignment horizontal="center" vertical="center"/>
    </xf>
    <xf numFmtId="169" fontId="0" fillId="3" borderId="15" xfId="0" applyNumberFormat="1" applyFill="1" applyBorder="1" applyAlignment="1">
      <alignment horizontal="center" vertical="center"/>
    </xf>
    <xf numFmtId="0" fontId="1" fillId="7" borderId="15" xfId="0" applyFont="1" applyFill="1" applyBorder="1" applyAlignment="1">
      <alignment horizontal="center" vertical="center"/>
    </xf>
    <xf numFmtId="169" fontId="1" fillId="3" borderId="15" xfId="0" applyNumberFormat="1" applyFont="1" applyFill="1" applyBorder="1" applyAlignment="1">
      <alignment horizontal="center" vertical="center"/>
    </xf>
    <xf numFmtId="10" fontId="0" fillId="3" borderId="0" xfId="2" applyNumberFormat="1" applyFont="1" applyFill="1" applyBorder="1" applyAlignment="1" applyProtection="1">
      <alignment horizontal="center"/>
    </xf>
    <xf numFmtId="0" fontId="2" fillId="0" borderId="0" xfId="0" applyFont="1" applyAlignment="1">
      <alignment vertical="center"/>
    </xf>
    <xf numFmtId="166" fontId="0" fillId="3" borderId="0" xfId="0" applyNumberFormat="1" applyFill="1" applyAlignment="1">
      <alignment horizontal="center" vertical="center"/>
    </xf>
    <xf numFmtId="166" fontId="0" fillId="0" borderId="0" xfId="0" applyNumberFormat="1" applyAlignment="1">
      <alignment horizontal="left" vertical="center"/>
    </xf>
    <xf numFmtId="0" fontId="17" fillId="0" borderId="0" xfId="0" applyFont="1"/>
    <xf numFmtId="10" fontId="0" fillId="0" borderId="0" xfId="2" applyNumberFormat="1" applyFont="1" applyBorder="1" applyAlignment="1" applyProtection="1">
      <alignment horizontal="center" vertical="center"/>
    </xf>
    <xf numFmtId="0" fontId="17" fillId="0" borderId="0" xfId="0" applyFont="1" applyAlignment="1">
      <alignment wrapText="1"/>
    </xf>
    <xf numFmtId="10" fontId="0" fillId="3" borderId="0" xfId="2" applyNumberFormat="1" applyFont="1" applyFill="1" applyBorder="1" applyAlignment="1" applyProtection="1">
      <alignment horizontal="center" vertical="center"/>
    </xf>
    <xf numFmtId="10" fontId="17" fillId="0" borderId="0" xfId="2" applyNumberFormat="1" applyFont="1" applyBorder="1" applyAlignment="1" applyProtection="1">
      <alignment horizontal="center" vertical="center"/>
    </xf>
    <xf numFmtId="166" fontId="17" fillId="0" borderId="0" xfId="0" applyNumberFormat="1" applyFont="1" applyAlignment="1">
      <alignment horizontal="center"/>
    </xf>
    <xf numFmtId="10" fontId="17" fillId="3" borderId="0" xfId="2" applyNumberFormat="1" applyFont="1" applyFill="1" applyBorder="1" applyAlignment="1" applyProtection="1">
      <alignment horizontal="center"/>
    </xf>
    <xf numFmtId="166" fontId="17" fillId="3" borderId="0" xfId="0" applyNumberFormat="1" applyFont="1" applyFill="1" applyAlignment="1">
      <alignment horizontal="center" vertical="center"/>
    </xf>
    <xf numFmtId="10" fontId="17" fillId="3" borderId="0" xfId="2" applyNumberFormat="1" applyFont="1" applyFill="1" applyBorder="1" applyAlignment="1" applyProtection="1">
      <alignment horizontal="center" vertical="center"/>
    </xf>
    <xf numFmtId="170" fontId="17" fillId="3" borderId="0" xfId="0" applyNumberFormat="1" applyFont="1" applyFill="1" applyAlignment="1">
      <alignment horizontal="center"/>
    </xf>
    <xf numFmtId="0" fontId="0" fillId="0" borderId="0" xfId="0" applyAlignment="1">
      <alignment vertical="center" wrapText="1"/>
    </xf>
    <xf numFmtId="0" fontId="18" fillId="0" borderId="0" xfId="0" applyFont="1" applyAlignment="1">
      <alignment horizontal="center" vertical="center" wrapText="1"/>
    </xf>
    <xf numFmtId="166" fontId="18" fillId="0" borderId="0" xfId="0" applyNumberFormat="1" applyFont="1" applyAlignment="1">
      <alignment vertical="center"/>
    </xf>
    <xf numFmtId="0" fontId="18" fillId="0" borderId="0" xfId="0" applyFont="1" applyAlignment="1">
      <alignment horizontal="center"/>
    </xf>
    <xf numFmtId="166" fontId="18" fillId="0" borderId="0" xfId="0" applyNumberFormat="1" applyFont="1" applyAlignment="1">
      <alignment horizontal="center"/>
    </xf>
    <xf numFmtId="166" fontId="19" fillId="3" borderId="0" xfId="0" applyNumberFormat="1" applyFont="1" applyFill="1" applyAlignment="1">
      <alignment horizontal="center"/>
    </xf>
    <xf numFmtId="166" fontId="0" fillId="0" borderId="0" xfId="0" applyNumberFormat="1" applyAlignment="1">
      <alignment horizontal="center" vertical="center"/>
    </xf>
    <xf numFmtId="0" fontId="5" fillId="4" borderId="13" xfId="0" applyFont="1" applyFill="1" applyBorder="1" applyAlignment="1">
      <alignment horizontal="center" vertical="center"/>
    </xf>
    <xf numFmtId="0" fontId="5" fillId="4" borderId="13" xfId="0" applyFont="1" applyFill="1" applyBorder="1" applyAlignment="1">
      <alignment horizontal="center" vertical="center" wrapText="1"/>
    </xf>
    <xf numFmtId="166" fontId="17" fillId="3" borderId="0" xfId="0" applyNumberFormat="1" applyFont="1" applyFill="1" applyAlignment="1">
      <alignment horizontal="center"/>
    </xf>
    <xf numFmtId="0" fontId="0" fillId="5" borderId="9" xfId="0" applyFill="1" applyBorder="1" applyAlignment="1">
      <alignment horizontal="left" vertical="center"/>
    </xf>
    <xf numFmtId="0" fontId="0" fillId="5" borderId="9" xfId="0" applyFill="1" applyBorder="1" applyAlignment="1">
      <alignment horizontal="center" vertical="center"/>
    </xf>
    <xf numFmtId="169" fontId="0" fillId="3" borderId="9" xfId="0" applyNumberFormat="1" applyFill="1" applyBorder="1" applyAlignment="1">
      <alignment horizontal="center" vertical="center"/>
    </xf>
    <xf numFmtId="0" fontId="0" fillId="7" borderId="16" xfId="0" applyFill="1" applyBorder="1" applyAlignment="1">
      <alignment horizontal="left" vertical="center"/>
    </xf>
    <xf numFmtId="0" fontId="0" fillId="7" borderId="16" xfId="0" applyFill="1" applyBorder="1" applyAlignment="1">
      <alignment horizontal="center" vertical="center"/>
    </xf>
    <xf numFmtId="169" fontId="17" fillId="3" borderId="0" xfId="0" applyNumberFormat="1" applyFont="1" applyFill="1" applyAlignment="1">
      <alignment horizontal="center"/>
    </xf>
    <xf numFmtId="0" fontId="0" fillId="7" borderId="15" xfId="0" applyFill="1" applyBorder="1" applyAlignment="1">
      <alignment horizontal="left" vertical="center"/>
    </xf>
    <xf numFmtId="169" fontId="0" fillId="3" borderId="0" xfId="0" applyNumberFormat="1" applyFill="1" applyAlignment="1">
      <alignment horizontal="center"/>
    </xf>
    <xf numFmtId="171" fontId="0" fillId="3" borderId="0" xfId="0" applyNumberFormat="1" applyFill="1" applyAlignment="1">
      <alignment horizontal="center" vertical="center"/>
    </xf>
    <xf numFmtId="0" fontId="0" fillId="0" borderId="0" xfId="0" applyAlignment="1">
      <alignment horizontal="right"/>
    </xf>
    <xf numFmtId="0" fontId="6" fillId="4" borderId="0" xfId="0" applyFont="1" applyFill="1" applyAlignment="1">
      <alignment vertical="center"/>
    </xf>
    <xf numFmtId="0" fontId="5" fillId="4" borderId="0" xfId="0" applyFont="1" applyFill="1" applyAlignment="1">
      <alignment horizontal="center" vertical="center"/>
    </xf>
    <xf numFmtId="166" fontId="5" fillId="4" borderId="0" xfId="0" applyNumberFormat="1" applyFont="1" applyFill="1" applyAlignment="1">
      <alignment horizontal="center"/>
    </xf>
    <xf numFmtId="172" fontId="0" fillId="3" borderId="0" xfId="0" applyNumberFormat="1" applyFill="1" applyAlignment="1">
      <alignment horizontal="center" vertical="center"/>
    </xf>
    <xf numFmtId="172" fontId="0" fillId="0" borderId="0" xfId="0" applyNumberFormat="1" applyAlignment="1">
      <alignment horizontal="center" vertical="center"/>
    </xf>
    <xf numFmtId="0" fontId="0" fillId="0" borderId="0" xfId="0" applyAlignment="1">
      <alignment wrapText="1"/>
    </xf>
    <xf numFmtId="170" fontId="0" fillId="3" borderId="0" xfId="0" applyNumberFormat="1" applyFill="1" applyAlignment="1">
      <alignment horizontal="center"/>
    </xf>
    <xf numFmtId="166" fontId="18" fillId="0" borderId="0" xfId="0" applyNumberFormat="1" applyFont="1" applyAlignment="1">
      <alignment vertical="center" wrapText="1"/>
    </xf>
    <xf numFmtId="169" fontId="0" fillId="3" borderId="0" xfId="0" applyNumberFormat="1" applyFill="1"/>
    <xf numFmtId="0" fontId="1" fillId="6" borderId="0" xfId="0" applyFont="1" applyFill="1" applyAlignment="1">
      <alignment horizontal="justify" vertical="center" wrapText="1"/>
    </xf>
    <xf numFmtId="166" fontId="14" fillId="3" borderId="0" xfId="0" applyNumberFormat="1" applyFont="1" applyFill="1" applyAlignment="1">
      <alignment horizontal="center" vertical="center"/>
    </xf>
    <xf numFmtId="0" fontId="6" fillId="4" borderId="0" xfId="0" applyFont="1" applyFill="1" applyAlignment="1">
      <alignment horizontal="center" vertical="center"/>
    </xf>
    <xf numFmtId="0" fontId="1" fillId="6" borderId="0" xfId="0" applyFont="1" applyFill="1" applyAlignment="1">
      <alignment horizontal="center" vertical="center" wrapText="1"/>
    </xf>
    <xf numFmtId="49" fontId="0" fillId="6" borderId="0" xfId="0" applyNumberFormat="1" applyFill="1" applyAlignment="1">
      <alignment horizontal="left" vertical="center"/>
    </xf>
    <xf numFmtId="0" fontId="0" fillId="0" borderId="0" xfId="0" applyAlignment="1">
      <alignment horizontal="justify"/>
    </xf>
    <xf numFmtId="0" fontId="0" fillId="0" borderId="0" xfId="0" applyAlignment="1">
      <alignment horizontal="justify" wrapText="1"/>
    </xf>
    <xf numFmtId="169" fontId="0" fillId="3" borderId="0" xfId="0" applyNumberFormat="1" applyFill="1" applyAlignment="1">
      <alignment horizontal="center" vertical="center"/>
    </xf>
    <xf numFmtId="0" fontId="21" fillId="3" borderId="0" xfId="0" applyFont="1" applyFill="1" applyAlignment="1">
      <alignment horizontal="center"/>
    </xf>
    <xf numFmtId="166" fontId="21" fillId="3" borderId="0" xfId="0" applyNumberFormat="1" applyFont="1" applyFill="1" applyAlignment="1">
      <alignment horizontal="center" vertical="center"/>
    </xf>
    <xf numFmtId="164" fontId="0" fillId="0" borderId="0" xfId="0" applyNumberFormat="1" applyAlignment="1">
      <alignment horizontal="center"/>
    </xf>
    <xf numFmtId="164" fontId="13" fillId="4" borderId="0" xfId="0" applyNumberFormat="1" applyFont="1" applyFill="1" applyAlignment="1">
      <alignment horizontal="center"/>
    </xf>
    <xf numFmtId="164" fontId="1" fillId="0" borderId="0" xfId="0" applyNumberFormat="1" applyFont="1" applyAlignment="1">
      <alignment horizontal="center"/>
    </xf>
    <xf numFmtId="164" fontId="22" fillId="0" borderId="0" xfId="0" applyNumberFormat="1" applyFont="1"/>
    <xf numFmtId="0" fontId="25" fillId="6" borderId="5" xfId="0" applyFont="1" applyFill="1" applyBorder="1" applyAlignment="1">
      <alignment horizontal="center" vertical="center" wrapText="1"/>
    </xf>
    <xf numFmtId="0" fontId="26" fillId="7" borderId="18" xfId="0" applyFont="1" applyFill="1" applyBorder="1" applyAlignment="1">
      <alignment horizontal="center" vertical="center"/>
    </xf>
    <xf numFmtId="169" fontId="26" fillId="7" borderId="18" xfId="0" applyNumberFormat="1" applyFont="1" applyFill="1" applyBorder="1" applyAlignment="1">
      <alignment horizontal="center" vertical="center"/>
    </xf>
    <xf numFmtId="0" fontId="26" fillId="7" borderId="5" xfId="0" applyFont="1" applyFill="1" applyBorder="1" applyAlignment="1">
      <alignment horizontal="center" vertical="center"/>
    </xf>
    <xf numFmtId="169" fontId="26" fillId="7" borderId="5" xfId="0" applyNumberFormat="1" applyFont="1" applyFill="1" applyBorder="1" applyAlignment="1">
      <alignment horizontal="center" vertical="center"/>
    </xf>
    <xf numFmtId="0" fontId="28" fillId="0" borderId="0" xfId="0" applyFont="1"/>
    <xf numFmtId="0" fontId="28" fillId="0" borderId="0" xfId="0" applyFont="1" applyAlignment="1">
      <alignment horizontal="center" vertical="center"/>
    </xf>
    <xf numFmtId="0" fontId="30" fillId="0" borderId="0" xfId="0" applyFont="1"/>
    <xf numFmtId="0" fontId="32" fillId="6" borderId="5" xfId="0" applyFont="1" applyFill="1" applyBorder="1" applyAlignment="1">
      <alignment horizontal="center" vertical="center" wrapText="1"/>
    </xf>
    <xf numFmtId="0" fontId="32" fillId="6" borderId="5" xfId="0" applyFont="1" applyFill="1" applyBorder="1" applyAlignment="1">
      <alignment horizontal="center" vertical="center"/>
    </xf>
    <xf numFmtId="0" fontId="33" fillId="7" borderId="5" xfId="0" applyFont="1" applyFill="1" applyBorder="1" applyAlignment="1">
      <alignment horizontal="center" vertical="center"/>
    </xf>
    <xf numFmtId="0" fontId="33" fillId="7" borderId="5" xfId="0" applyFont="1" applyFill="1" applyBorder="1" applyAlignment="1">
      <alignment horizontal="center" vertical="center" wrapText="1"/>
    </xf>
    <xf numFmtId="173" fontId="33" fillId="9" borderId="5" xfId="0" applyNumberFormat="1" applyFont="1" applyFill="1" applyBorder="1" applyAlignment="1">
      <alignment horizontal="center" vertical="center"/>
    </xf>
    <xf numFmtId="173" fontId="33" fillId="7" borderId="5" xfId="0" applyNumberFormat="1" applyFont="1" applyFill="1" applyBorder="1" applyAlignment="1">
      <alignment horizontal="center" vertical="center"/>
    </xf>
    <xf numFmtId="173" fontId="33" fillId="6" borderId="5" xfId="0" applyNumberFormat="1" applyFont="1" applyFill="1" applyBorder="1" applyAlignment="1">
      <alignment horizontal="center" vertical="center"/>
    </xf>
    <xf numFmtId="173" fontId="32" fillId="6" borderId="5" xfId="0" applyNumberFormat="1" applyFont="1" applyFill="1" applyBorder="1" applyAlignment="1">
      <alignment horizontal="center" vertical="center"/>
    </xf>
    <xf numFmtId="0" fontId="16" fillId="0" borderId="0" xfId="0" applyFont="1" applyAlignment="1">
      <alignment horizontal="center" vertical="center"/>
    </xf>
    <xf numFmtId="173" fontId="36" fillId="9" borderId="5" xfId="0" applyNumberFormat="1" applyFont="1" applyFill="1" applyBorder="1" applyAlignment="1">
      <alignment horizontal="center" vertical="center"/>
    </xf>
    <xf numFmtId="173" fontId="37" fillId="7" borderId="5" xfId="0" applyNumberFormat="1" applyFont="1" applyFill="1" applyBorder="1" applyAlignment="1">
      <alignment horizontal="center" vertical="center"/>
    </xf>
    <xf numFmtId="173" fontId="36" fillId="6" borderId="5" xfId="0" applyNumberFormat="1" applyFont="1" applyFill="1" applyBorder="1" applyAlignment="1">
      <alignment horizontal="center" vertical="center"/>
    </xf>
    <xf numFmtId="173" fontId="37" fillId="6" borderId="5" xfId="0" applyNumberFormat="1" applyFont="1" applyFill="1" applyBorder="1" applyAlignment="1">
      <alignment horizontal="center" vertical="center"/>
    </xf>
    <xf numFmtId="0" fontId="40" fillId="0" borderId="0" xfId="0" applyFont="1"/>
    <xf numFmtId="0" fontId="41" fillId="6" borderId="22" xfId="3" applyFont="1" applyFill="1" applyBorder="1" applyAlignment="1" applyProtection="1">
      <alignment horizontal="center" vertical="center" wrapText="1"/>
    </xf>
    <xf numFmtId="0" fontId="41" fillId="6" borderId="1" xfId="3" applyFont="1" applyFill="1" applyAlignment="1" applyProtection="1">
      <alignment horizontal="center" vertical="center" wrapText="1"/>
    </xf>
    <xf numFmtId="0" fontId="41" fillId="5" borderId="22" xfId="3" applyFont="1" applyFill="1" applyBorder="1" applyAlignment="1" applyProtection="1">
      <alignment horizontal="center" vertical="center" wrapText="1"/>
    </xf>
    <xf numFmtId="0" fontId="41" fillId="5" borderId="1" xfId="3" applyFont="1" applyFill="1" applyAlignment="1" applyProtection="1">
      <alignment horizontal="center" vertical="center" wrapText="1"/>
    </xf>
    <xf numFmtId="0" fontId="41" fillId="3" borderId="22" xfId="3" applyFont="1" applyFill="1" applyBorder="1" applyAlignment="1" applyProtection="1">
      <alignment horizontal="center" vertical="center"/>
    </xf>
    <xf numFmtId="174" fontId="41" fillId="3" borderId="1" xfId="1" applyNumberFormat="1" applyFont="1" applyFill="1" applyBorder="1" applyAlignment="1" applyProtection="1">
      <alignment horizontal="center" vertical="center"/>
    </xf>
    <xf numFmtId="0" fontId="43" fillId="0" borderId="0" xfId="0" applyFont="1"/>
    <xf numFmtId="0" fontId="44" fillId="0" borderId="24" xfId="0" applyFont="1" applyBorder="1"/>
    <xf numFmtId="0" fontId="44" fillId="0" borderId="0" xfId="0" applyFont="1"/>
    <xf numFmtId="0" fontId="44" fillId="0" borderId="25" xfId="0" applyFont="1" applyBorder="1"/>
    <xf numFmtId="0" fontId="44" fillId="5" borderId="9" xfId="0" applyFont="1" applyFill="1" applyBorder="1" applyAlignment="1">
      <alignment horizontal="left" vertical="center"/>
    </xf>
    <xf numFmtId="10" fontId="44" fillId="3" borderId="0" xfId="0" applyNumberFormat="1" applyFont="1" applyFill="1" applyAlignment="1">
      <alignment horizontal="center" vertical="center"/>
    </xf>
    <xf numFmtId="0" fontId="44" fillId="7" borderId="15" xfId="0" applyFont="1" applyFill="1" applyBorder="1" applyAlignment="1">
      <alignment horizontal="left" vertical="center"/>
    </xf>
    <xf numFmtId="169" fontId="44" fillId="3" borderId="0" xfId="0" applyNumberFormat="1" applyFont="1" applyFill="1" applyAlignment="1">
      <alignment horizontal="center"/>
    </xf>
    <xf numFmtId="174" fontId="41" fillId="0" borderId="26" xfId="3" applyNumberFormat="1" applyFont="1" applyBorder="1" applyAlignment="1" applyProtection="1">
      <alignment horizontal="center" vertical="center"/>
    </xf>
    <xf numFmtId="171" fontId="44" fillId="3" borderId="0" xfId="0" applyNumberFormat="1" applyFont="1" applyFill="1" applyAlignment="1">
      <alignment horizontal="center" vertical="center"/>
    </xf>
    <xf numFmtId="0" fontId="41" fillId="5" borderId="0" xfId="0" applyFont="1" applyFill="1" applyAlignment="1">
      <alignment horizontal="center" vertical="center"/>
    </xf>
    <xf numFmtId="0" fontId="41" fillId="5" borderId="25" xfId="0" applyFont="1" applyFill="1" applyBorder="1" applyAlignment="1">
      <alignment horizontal="center" vertical="center"/>
    </xf>
    <xf numFmtId="0" fontId="46" fillId="0" borderId="0" xfId="0" applyFont="1"/>
    <xf numFmtId="10" fontId="44" fillId="3" borderId="0" xfId="2" applyNumberFormat="1" applyFont="1" applyFill="1" applyBorder="1" applyAlignment="1" applyProtection="1">
      <alignment horizontal="center" vertical="center"/>
    </xf>
    <xf numFmtId="174" fontId="44" fillId="3" borderId="5" xfId="1" applyNumberFormat="1" applyFont="1" applyFill="1" applyBorder="1" applyAlignment="1" applyProtection="1">
      <alignment horizontal="center" vertical="center"/>
    </xf>
    <xf numFmtId="174" fontId="41" fillId="3" borderId="29" xfId="3" applyNumberFormat="1" applyFont="1" applyFill="1" applyBorder="1" applyAlignment="1" applyProtection="1">
      <alignment horizontal="center" vertical="center"/>
    </xf>
    <xf numFmtId="174" fontId="41" fillId="3" borderId="30" xfId="3" applyNumberFormat="1" applyFont="1" applyFill="1" applyBorder="1" applyAlignment="1" applyProtection="1">
      <alignment horizontal="center" vertical="center"/>
    </xf>
    <xf numFmtId="0" fontId="41" fillId="7" borderId="0" xfId="0" applyFont="1" applyFill="1" applyAlignment="1">
      <alignment horizontal="center" vertical="center"/>
    </xf>
    <xf numFmtId="0" fontId="41" fillId="7" borderId="25" xfId="0" applyFont="1" applyFill="1" applyBorder="1" applyAlignment="1">
      <alignment horizontal="center" vertical="center"/>
    </xf>
    <xf numFmtId="174" fontId="44" fillId="3" borderId="5" xfId="1" applyNumberFormat="1" applyFont="1" applyFill="1" applyBorder="1" applyProtection="1"/>
    <xf numFmtId="10" fontId="41" fillId="3" borderId="0" xfId="0" applyNumberFormat="1" applyFont="1" applyFill="1" applyAlignment="1">
      <alignment horizontal="center" vertical="center"/>
    </xf>
    <xf numFmtId="174" fontId="41" fillId="3" borderId="5" xfId="0" applyNumberFormat="1" applyFont="1" applyFill="1" applyBorder="1" applyAlignment="1">
      <alignment horizontal="center" vertical="center"/>
    </xf>
    <xf numFmtId="174" fontId="41" fillId="4" borderId="29" xfId="3" applyNumberFormat="1" applyFont="1" applyFill="1" applyBorder="1" applyAlignment="1" applyProtection="1">
      <alignment horizontal="center" vertical="center"/>
    </xf>
    <xf numFmtId="10" fontId="0" fillId="10" borderId="0" xfId="2" applyNumberFormat="1" applyFont="1" applyFill="1" applyBorder="1" applyAlignment="1" applyProtection="1">
      <alignment horizontal="center"/>
    </xf>
    <xf numFmtId="172" fontId="0" fillId="11" borderId="0" xfId="0" applyNumberFormat="1" applyFill="1" applyAlignment="1">
      <alignment horizontal="center" vertical="center"/>
    </xf>
    <xf numFmtId="0" fontId="47" fillId="12" borderId="18" xfId="0" applyFont="1" applyFill="1" applyBorder="1" applyAlignment="1">
      <alignment horizontal="center" vertical="center" wrapText="1"/>
    </xf>
    <xf numFmtId="0" fontId="47" fillId="12" borderId="5" xfId="0" applyFont="1" applyFill="1" applyBorder="1" applyAlignment="1">
      <alignment horizontal="center" vertical="center" wrapText="1"/>
    </xf>
    <xf numFmtId="0" fontId="47" fillId="12" borderId="5" xfId="0" applyFont="1" applyFill="1" applyBorder="1" applyAlignment="1">
      <alignment horizontal="justify" wrapText="1"/>
    </xf>
    <xf numFmtId="0" fontId="48" fillId="12" borderId="5" xfId="0" applyFont="1" applyFill="1" applyBorder="1" applyAlignment="1">
      <alignment horizontal="center" vertical="center" wrapText="1"/>
    </xf>
    <xf numFmtId="0" fontId="48" fillId="12" borderId="5" xfId="0" applyFont="1" applyFill="1" applyBorder="1" applyAlignment="1">
      <alignment horizontal="justify" wrapText="1"/>
    </xf>
    <xf numFmtId="0" fontId="49" fillId="12" borderId="5" xfId="0" applyFont="1" applyFill="1" applyBorder="1" applyAlignment="1">
      <alignment horizontal="center" vertical="center" wrapText="1"/>
    </xf>
    <xf numFmtId="0" fontId="47" fillId="12" borderId="5" xfId="0" applyFont="1" applyFill="1" applyBorder="1" applyAlignment="1">
      <alignment horizontal="justify" vertical="center" wrapText="1"/>
    </xf>
    <xf numFmtId="0" fontId="48" fillId="12" borderId="5" xfId="0" applyFont="1" applyFill="1" applyBorder="1" applyAlignment="1">
      <alignment horizontal="justify" vertical="center" wrapText="1"/>
    </xf>
    <xf numFmtId="0" fontId="50" fillId="12" borderId="19" xfId="0" applyFont="1" applyFill="1" applyBorder="1" applyAlignment="1">
      <alignment horizontal="center" vertical="center" wrapText="1"/>
    </xf>
    <xf numFmtId="0" fontId="49" fillId="12" borderId="19" xfId="0" applyFont="1" applyFill="1" applyBorder="1" applyAlignment="1">
      <alignment horizontal="center" vertical="center" wrapText="1"/>
    </xf>
    <xf numFmtId="0" fontId="51" fillId="12" borderId="5" xfId="0" applyFont="1" applyFill="1" applyBorder="1" applyAlignment="1">
      <alignment horizontal="center" vertical="center" wrapText="1"/>
    </xf>
    <xf numFmtId="0" fontId="52" fillId="12" borderId="5" xfId="0" applyFont="1" applyFill="1" applyBorder="1" applyAlignment="1">
      <alignment horizontal="center" vertical="center" wrapText="1"/>
    </xf>
    <xf numFmtId="0" fontId="0" fillId="3" borderId="0" xfId="0" applyFill="1" applyAlignment="1">
      <alignment horizontal="center" vertical="center"/>
    </xf>
    <xf numFmtId="0" fontId="0" fillId="3" borderId="0" xfId="0" applyFill="1" applyAlignment="1">
      <alignment horizontal="center" vertical="center" wrapText="1"/>
    </xf>
    <xf numFmtId="169" fontId="55" fillId="3" borderId="5" xfId="0" applyNumberFormat="1" applyFont="1" applyFill="1" applyBorder="1" applyAlignment="1">
      <alignment horizontal="center" vertical="center"/>
    </xf>
    <xf numFmtId="173" fontId="56" fillId="0" borderId="5" xfId="0" applyNumberFormat="1" applyFont="1" applyBorder="1"/>
    <xf numFmtId="0" fontId="1" fillId="2" borderId="2" xfId="0" applyFont="1" applyFill="1" applyBorder="1" applyAlignment="1">
      <alignment horizontal="center"/>
    </xf>
    <xf numFmtId="0" fontId="0" fillId="2" borderId="0" xfId="0" applyFill="1" applyAlignment="1">
      <alignment horizontal="left" vertical="center" wrapText="1"/>
    </xf>
    <xf numFmtId="0" fontId="2" fillId="2" borderId="0" xfId="0" applyFont="1" applyFill="1" applyAlignment="1">
      <alignment horizontal="left" vertical="center" wrapText="1"/>
    </xf>
    <xf numFmtId="0" fontId="0" fillId="2" borderId="0" xfId="0" applyFill="1" applyAlignment="1">
      <alignment horizontal="left" wrapText="1"/>
    </xf>
    <xf numFmtId="0" fontId="1" fillId="2" borderId="0" xfId="0" applyFont="1" applyFill="1" applyAlignment="1">
      <alignment horizontal="left" vertical="center" wrapText="1"/>
    </xf>
    <xf numFmtId="0" fontId="4" fillId="2" borderId="0" xfId="0" applyFont="1" applyFill="1" applyAlignment="1">
      <alignment horizontal="center"/>
    </xf>
    <xf numFmtId="0" fontId="0" fillId="2" borderId="0" xfId="0" applyFill="1" applyAlignment="1">
      <alignment horizontal="center"/>
    </xf>
    <xf numFmtId="0" fontId="1" fillId="0" borderId="3" xfId="0" applyFont="1" applyBorder="1" applyAlignment="1">
      <alignment horizontal="center"/>
    </xf>
    <xf numFmtId="0" fontId="1" fillId="0" borderId="0" xfId="0" applyFont="1" applyAlignment="1">
      <alignment horizontal="center"/>
    </xf>
    <xf numFmtId="0" fontId="5" fillId="4" borderId="4" xfId="0" applyFont="1" applyFill="1" applyBorder="1" applyAlignment="1">
      <alignment horizontal="center"/>
    </xf>
    <xf numFmtId="0" fontId="5" fillId="4" borderId="0" xfId="0" applyFont="1" applyFill="1" applyAlignment="1">
      <alignment horizontal="center"/>
    </xf>
    <xf numFmtId="0" fontId="1" fillId="0" borderId="0" xfId="0" applyFont="1" applyAlignment="1">
      <alignment horizontal="center" vertical="center"/>
    </xf>
    <xf numFmtId="0" fontId="5" fillId="4" borderId="0" xfId="0" applyFont="1" applyFill="1" applyAlignment="1">
      <alignment horizontal="center" wrapText="1"/>
    </xf>
    <xf numFmtId="0" fontId="8" fillId="4" borderId="5" xfId="0" applyFont="1" applyFill="1" applyBorder="1" applyAlignment="1">
      <alignment horizontal="center" vertical="center" wrapText="1"/>
    </xf>
    <xf numFmtId="0" fontId="13" fillId="4" borderId="6" xfId="0" applyFont="1" applyFill="1" applyBorder="1" applyAlignment="1">
      <alignment horizontal="center" vertical="center"/>
    </xf>
    <xf numFmtId="0" fontId="1" fillId="5" borderId="7" xfId="0" applyFont="1" applyFill="1" applyBorder="1" applyAlignment="1">
      <alignment horizontal="left" vertical="center" wrapText="1"/>
    </xf>
    <xf numFmtId="0" fontId="5" fillId="4" borderId="4" xfId="0" applyFont="1" applyFill="1" applyBorder="1" applyAlignment="1">
      <alignment horizontal="center" vertical="center"/>
    </xf>
    <xf numFmtId="168" fontId="0" fillId="3" borderId="9" xfId="0" applyNumberFormat="1" applyFill="1" applyBorder="1" applyAlignment="1">
      <alignment horizontal="center"/>
    </xf>
    <xf numFmtId="0" fontId="0" fillId="3" borderId="11" xfId="0" applyFill="1" applyBorder="1" applyAlignment="1">
      <alignment horizontal="center"/>
    </xf>
    <xf numFmtId="0" fontId="54" fillId="3" borderId="11" xfId="0" applyFont="1" applyFill="1" applyBorder="1" applyAlignment="1">
      <alignment horizontal="center"/>
    </xf>
    <xf numFmtId="0" fontId="5" fillId="4" borderId="6" xfId="0" applyFont="1" applyFill="1" applyBorder="1" applyAlignment="1">
      <alignment horizontal="center" vertical="center"/>
    </xf>
    <xf numFmtId="0" fontId="5" fillId="4" borderId="12" xfId="0" applyFont="1" applyFill="1" applyBorder="1" applyAlignment="1">
      <alignment horizontal="center" vertical="center" wrapText="1"/>
    </xf>
    <xf numFmtId="0" fontId="0" fillId="5" borderId="11" xfId="0" applyFill="1" applyBorder="1" applyAlignment="1">
      <alignment horizontal="center" vertical="center"/>
    </xf>
    <xf numFmtId="0" fontId="0" fillId="7" borderId="11" xfId="0" applyFill="1" applyBorder="1" applyAlignment="1">
      <alignment horizontal="center" vertical="center"/>
    </xf>
    <xf numFmtId="0" fontId="5" fillId="4" borderId="0" xfId="0" applyFont="1" applyFill="1" applyAlignment="1">
      <alignment horizontal="center" vertical="center"/>
    </xf>
    <xf numFmtId="0" fontId="5" fillId="4" borderId="0" xfId="0" applyFont="1" applyFill="1" applyAlignment="1">
      <alignment horizontal="center" vertical="center" wrapText="1"/>
    </xf>
    <xf numFmtId="0" fontId="20" fillId="5" borderId="17" xfId="0" applyFont="1" applyFill="1" applyBorder="1" applyAlignment="1">
      <alignment horizontal="center" vertical="center"/>
    </xf>
    <xf numFmtId="0" fontId="5" fillId="4" borderId="13" xfId="0" applyFont="1" applyFill="1" applyBorder="1" applyAlignment="1">
      <alignment horizontal="center" vertical="center"/>
    </xf>
    <xf numFmtId="169" fontId="20" fillId="5" borderId="17" xfId="0" applyNumberFormat="1" applyFont="1" applyFill="1" applyBorder="1" applyAlignment="1">
      <alignment horizontal="center" vertical="center"/>
    </xf>
    <xf numFmtId="0" fontId="54" fillId="0" borderId="0" xfId="0" applyFont="1" applyAlignment="1">
      <alignment horizontal="justify" wrapText="1"/>
    </xf>
    <xf numFmtId="0" fontId="0" fillId="0" borderId="0" xfId="0" applyAlignment="1">
      <alignment horizontal="justify" wrapText="1"/>
    </xf>
    <xf numFmtId="0" fontId="1" fillId="5" borderId="7" xfId="0" applyFont="1" applyFill="1" applyBorder="1" applyAlignment="1">
      <alignment horizontal="justify" vertical="center"/>
    </xf>
    <xf numFmtId="0" fontId="54" fillId="5" borderId="11" xfId="0" applyFont="1" applyFill="1" applyBorder="1" applyAlignment="1">
      <alignment horizontal="center" vertical="center"/>
    </xf>
    <xf numFmtId="0" fontId="23" fillId="4" borderId="5" xfId="0" applyFont="1" applyFill="1" applyBorder="1" applyAlignment="1">
      <alignment horizontal="center"/>
    </xf>
    <xf numFmtId="0" fontId="24" fillId="5" borderId="5" xfId="0" applyFont="1" applyFill="1" applyBorder="1" applyAlignment="1">
      <alignment horizontal="center"/>
    </xf>
    <xf numFmtId="0" fontId="27" fillId="8" borderId="0" xfId="0" applyFont="1" applyFill="1" applyAlignment="1">
      <alignment horizontal="center" vertical="center"/>
    </xf>
    <xf numFmtId="169" fontId="27" fillId="8" borderId="0" xfId="0" applyNumberFormat="1" applyFont="1" applyFill="1" applyAlignment="1">
      <alignment horizontal="center" vertical="center"/>
    </xf>
    <xf numFmtId="0" fontId="23" fillId="4" borderId="0" xfId="0" applyFont="1" applyFill="1" applyAlignment="1">
      <alignment horizontal="center"/>
    </xf>
    <xf numFmtId="0" fontId="27" fillId="8" borderId="5" xfId="0" applyFont="1" applyFill="1" applyBorder="1" applyAlignment="1">
      <alignment horizontal="center"/>
    </xf>
    <xf numFmtId="169" fontId="27" fillId="8" borderId="5" xfId="0" applyNumberFormat="1" applyFont="1" applyFill="1" applyBorder="1" applyAlignment="1">
      <alignment horizontal="center"/>
    </xf>
    <xf numFmtId="169" fontId="0" fillId="0" borderId="20" xfId="0" applyNumberFormat="1" applyBorder="1" applyAlignment="1">
      <alignment horizontal="center"/>
    </xf>
    <xf numFmtId="0" fontId="29" fillId="4" borderId="0" xfId="0" applyFont="1" applyFill="1" applyAlignment="1">
      <alignment horizontal="center"/>
    </xf>
    <xf numFmtId="0" fontId="31" fillId="4" borderId="3" xfId="0" applyFont="1" applyFill="1" applyBorder="1" applyAlignment="1">
      <alignment horizontal="center" vertical="center" wrapText="1"/>
    </xf>
    <xf numFmtId="0" fontId="33" fillId="6" borderId="5" xfId="0" applyFont="1" applyFill="1" applyBorder="1" applyAlignment="1">
      <alignment horizontal="center" vertical="center" wrapText="1"/>
    </xf>
    <xf numFmtId="0" fontId="32" fillId="6" borderId="5" xfId="0" applyFont="1" applyFill="1" applyBorder="1" applyAlignment="1">
      <alignment horizontal="center" vertical="center" wrapText="1"/>
    </xf>
    <xf numFmtId="0" fontId="56" fillId="0" borderId="5" xfId="0" applyFont="1" applyBorder="1" applyAlignment="1">
      <alignment horizontal="center"/>
    </xf>
    <xf numFmtId="0" fontId="34" fillId="4" borderId="0" xfId="0" applyFont="1" applyFill="1" applyAlignment="1">
      <alignment horizontal="center" vertical="center"/>
    </xf>
    <xf numFmtId="0" fontId="35" fillId="4" borderId="3" xfId="0" applyFont="1" applyFill="1" applyBorder="1" applyAlignment="1">
      <alignment horizontal="center" vertical="center" wrapText="1"/>
    </xf>
    <xf numFmtId="0" fontId="53" fillId="6" borderId="5" xfId="0" applyFont="1" applyFill="1" applyBorder="1" applyAlignment="1">
      <alignment horizontal="center" vertical="center" wrapText="1"/>
    </xf>
    <xf numFmtId="0" fontId="38" fillId="4" borderId="0" xfId="0" applyFont="1" applyFill="1" applyAlignment="1">
      <alignment horizontal="center" vertical="center"/>
    </xf>
    <xf numFmtId="0" fontId="37" fillId="6" borderId="5" xfId="0" applyFont="1" applyFill="1" applyBorder="1" applyAlignment="1">
      <alignment horizontal="center" vertical="center" wrapText="1"/>
    </xf>
    <xf numFmtId="0" fontId="39" fillId="0" borderId="0" xfId="0" applyFont="1" applyAlignment="1">
      <alignment horizontal="justify" wrapText="1"/>
    </xf>
    <xf numFmtId="0" fontId="41" fillId="4" borderId="21" xfId="3" applyFont="1" applyFill="1" applyBorder="1" applyAlignment="1" applyProtection="1">
      <alignment horizontal="center"/>
    </xf>
    <xf numFmtId="0" fontId="41" fillId="6" borderId="23" xfId="3" applyFont="1" applyFill="1" applyBorder="1" applyAlignment="1" applyProtection="1">
      <alignment horizontal="center" vertical="center" wrapText="1"/>
    </xf>
    <xf numFmtId="0" fontId="41" fillId="5" borderId="23" xfId="3" applyFont="1" applyFill="1" applyBorder="1" applyAlignment="1" applyProtection="1">
      <alignment horizontal="center" vertical="center"/>
    </xf>
    <xf numFmtId="174" fontId="41" fillId="3" borderId="23" xfId="1" applyNumberFormat="1" applyFont="1" applyFill="1" applyBorder="1" applyAlignment="1" applyProtection="1">
      <alignment horizontal="center" vertical="center"/>
    </xf>
    <xf numFmtId="0" fontId="45" fillId="4" borderId="13" xfId="0" applyFont="1" applyFill="1" applyBorder="1" applyAlignment="1">
      <alignment horizontal="center" vertical="center"/>
    </xf>
    <xf numFmtId="0" fontId="41" fillId="6" borderId="1" xfId="3" applyFont="1" applyFill="1" applyAlignment="1" applyProtection="1">
      <alignment horizontal="center" vertical="center" wrapText="1"/>
    </xf>
    <xf numFmtId="0" fontId="41" fillId="5" borderId="27" xfId="0" applyFont="1" applyFill="1" applyBorder="1" applyAlignment="1">
      <alignment horizontal="center" vertical="center"/>
    </xf>
    <xf numFmtId="0" fontId="44" fillId="5" borderId="24" xfId="0" applyFont="1" applyFill="1" applyBorder="1" applyAlignment="1">
      <alignment horizontal="left" vertical="top"/>
    </xf>
    <xf numFmtId="0" fontId="44" fillId="7" borderId="24" xfId="0" applyFont="1" applyFill="1" applyBorder="1" applyAlignment="1">
      <alignment horizontal="left" vertical="top"/>
    </xf>
    <xf numFmtId="0" fontId="41" fillId="6" borderId="28" xfId="3" applyFont="1" applyFill="1" applyBorder="1" applyAlignment="1" applyProtection="1">
      <alignment horizontal="center" vertical="center" wrapText="1"/>
    </xf>
    <xf numFmtId="0" fontId="41" fillId="5" borderId="28" xfId="3" applyFont="1" applyFill="1" applyBorder="1" applyAlignment="1" applyProtection="1">
      <alignment horizontal="center" vertical="center" wrapText="1"/>
    </xf>
    <xf numFmtId="0" fontId="41" fillId="7" borderId="27" xfId="0" applyFont="1" applyFill="1" applyBorder="1" applyAlignment="1">
      <alignment horizontal="center" vertical="center"/>
    </xf>
    <xf numFmtId="0" fontId="41" fillId="7" borderId="24" xfId="0" applyFont="1" applyFill="1" applyBorder="1" applyAlignment="1">
      <alignment horizontal="center"/>
    </xf>
    <xf numFmtId="0" fontId="41" fillId="4" borderId="28" xfId="3" applyFont="1" applyFill="1" applyBorder="1" applyAlignment="1" applyProtection="1">
      <alignment horizontal="center" vertical="center" wrapText="1"/>
    </xf>
    <xf numFmtId="0" fontId="40" fillId="0" borderId="0" xfId="0" applyFont="1" applyAlignment="1">
      <alignment vertical="center" wrapText="1"/>
    </xf>
  </cellXfs>
  <cellStyles count="4">
    <cellStyle name="Excel Built-in Heading 1" xfId="3" xr:uid="{00000000-0005-0000-0000-000000000000}"/>
    <cellStyle name="Moeda" xfId="1" builtinId="4"/>
    <cellStyle name="Normal" xfId="0" builtinId="0"/>
    <cellStyle name="Porcentagem" xfId="2" builtinId="5"/>
  </cellStyles>
  <dxfs count="114">
    <dxf>
      <font>
        <b val="0"/>
        <i val="0"/>
        <strike val="0"/>
        <condense val="0"/>
        <extend val="0"/>
        <outline val="0"/>
        <shadow val="0"/>
        <u val="none"/>
        <vertAlign val="baseline"/>
        <sz val="16"/>
        <color theme="1"/>
        <name val="Arial"/>
        <family val="2"/>
        <charset val="1"/>
        <scheme val="none"/>
      </font>
      <numFmt numFmtId="164" formatCode="_-&quot;R$ &quot;* #,##0.00_-;&quot;-R$ &quot;* #,##0.00_-;_-&quot;R$ &quot;* \-??_-;_-@_-"/>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6"/>
        <color theme="1"/>
        <name val="Arial"/>
        <family val="2"/>
        <charset val="1"/>
        <scheme val="none"/>
      </font>
      <numFmt numFmtId="164" formatCode="_-&quot;R$ &quot;* #,##0.00_-;&quot;-R$ &quot;* #,##0.00_-;_-&quot;R$ &quot;* \-??_-;_-@_-"/>
      <alignment horizontal="general"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4"/>
        <color theme="1"/>
        <name val="Arial"/>
        <family val="2"/>
        <charset val="1"/>
        <scheme val="none"/>
      </font>
      <alignment horizontal="general"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4"/>
        <color theme="1"/>
        <name val="Arial"/>
        <family val="2"/>
        <charset val="1"/>
        <scheme val="none"/>
      </font>
      <alignment horizontal="general"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4"/>
        <color theme="1"/>
        <name val="Arial"/>
        <family val="2"/>
        <charset val="1"/>
        <scheme val="none"/>
      </font>
      <alignment horizontal="general"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4"/>
        <color theme="1"/>
        <name val="Arial"/>
        <family val="2"/>
        <charset val="1"/>
        <scheme val="none"/>
      </font>
      <alignment horizontal="general"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4"/>
        <color theme="1"/>
        <name val="Arial"/>
        <family val="2"/>
        <charset val="1"/>
        <scheme val="none"/>
      </font>
      <alignment horizontal="general"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strike val="0"/>
        <condense val="0"/>
        <extend val="0"/>
        <outline val="0"/>
        <shadow val="0"/>
        <u val="none"/>
        <vertAlign val="baseline"/>
        <sz val="11"/>
        <color auto="1"/>
        <name val="Arial"/>
        <scheme val="none"/>
      </font>
      <fill>
        <patternFill patternType="solid">
          <fgColor indexed="64"/>
          <bgColor theme="9" tint="0.79998168889431442"/>
        </patternFill>
      </fill>
      <alignment horizontal="center" vertical="center" textRotation="0" wrapText="1" indent="0" justifyLastLine="0" shrinkToFit="0" readingOrder="0"/>
      <border diagonalUp="0" diagonalDown="0" outline="0">
        <left/>
        <right style="thin">
          <color auto="1"/>
        </right>
        <top style="thin">
          <color auto="1"/>
        </top>
        <bottom style="thin">
          <color auto="1"/>
        </bottom>
      </border>
    </dxf>
    <dxf>
      <font>
        <b/>
      </font>
    </dxf>
    <dxf>
      <font>
        <b val="0"/>
        <i/>
        <strike val="0"/>
        <condense val="0"/>
        <extend val="0"/>
        <outline val="0"/>
        <shadow val="0"/>
        <u val="none"/>
        <vertAlign val="baseline"/>
        <sz val="11"/>
        <color auto="1"/>
        <name val="Arial"/>
        <scheme val="none"/>
      </font>
      <fill>
        <patternFill patternType="solid">
          <fgColor indexed="64"/>
          <bgColor theme="9" tint="0.79998168889431442"/>
        </patternFill>
      </fill>
      <alignment horizontal="center" vertical="center" textRotation="0" wrapText="1" indent="0" justifyLastLine="0" shrinkToFit="0" readingOrder="0"/>
      <border diagonalUp="0" diagonalDown="0" outline="0">
        <left style="thin">
          <color auto="1"/>
        </left>
        <right/>
        <top style="thin">
          <color auto="1"/>
        </top>
        <bottom style="thin">
          <color auto="1"/>
        </bottom>
      </border>
    </dxf>
    <dxf>
      <font>
        <b val="0"/>
        <i/>
        <strike val="0"/>
        <condense val="0"/>
        <extend val="0"/>
        <outline val="0"/>
        <shadow val="0"/>
        <u val="none"/>
        <vertAlign val="baseline"/>
        <sz val="11"/>
        <color auto="1"/>
        <name val="Arial"/>
        <scheme val="none"/>
      </font>
      <fill>
        <patternFill patternType="solid">
          <fgColor indexed="64"/>
          <bgColor theme="9" tint="0.79998168889431442"/>
        </patternFill>
      </fill>
      <alignment horizontal="justify"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strike val="0"/>
        <condense val="0"/>
        <extend val="0"/>
        <outline val="0"/>
        <shadow val="0"/>
        <u val="none"/>
        <vertAlign val="baseline"/>
        <sz val="11"/>
        <color auto="1"/>
        <name val="Arial"/>
        <scheme val="none"/>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auto="1"/>
        <name val="Arial"/>
        <scheme val="none"/>
      </font>
      <fill>
        <patternFill patternType="solid">
          <fgColor indexed="64"/>
          <bgColor theme="9" tint="0.79998168889431442"/>
        </patternFill>
      </fill>
      <alignment horizontal="center" vertical="center" textRotation="0" wrapText="1" indent="0" justifyLastLine="0" shrinkToFit="0" readingOrder="0"/>
      <border diagonalUp="0" diagonalDown="0">
        <left/>
        <right style="thin">
          <color auto="1"/>
        </right>
        <top style="thin">
          <color auto="1"/>
        </top>
        <bottom style="thin">
          <color auto="1"/>
        </bottom>
        <vertical/>
        <horizontal/>
      </border>
    </dxf>
    <dxf>
      <font>
        <b val="0"/>
        <i/>
        <strike val="0"/>
        <condense val="0"/>
        <extend val="0"/>
        <outline val="0"/>
        <shadow val="0"/>
        <u val="none"/>
        <vertAlign val="baseline"/>
        <sz val="11"/>
        <color auto="1"/>
        <name val="Arial"/>
        <scheme val="none"/>
      </font>
      <fill>
        <patternFill patternType="solid">
          <fgColor indexed="64"/>
          <bgColor theme="9" tint="0.79998168889431442"/>
        </patternFill>
      </fill>
      <alignment horizontal="center" vertical="center" textRotation="0" wrapText="1" indent="0" justifyLastLine="0" shrinkToFit="0" readingOrder="0"/>
      <border diagonalUp="0" diagonalDown="0" outline="0">
        <left/>
        <right style="thin">
          <color auto="1"/>
        </right>
        <top style="thin">
          <color auto="1"/>
        </top>
        <bottom style="thin">
          <color auto="1"/>
        </bottom>
      </border>
    </dxf>
    <dxf>
      <font>
        <b/>
      </font>
    </dxf>
    <dxf>
      <font>
        <b val="0"/>
        <i/>
        <strike val="0"/>
        <condense val="0"/>
        <extend val="0"/>
        <outline val="0"/>
        <shadow val="0"/>
        <u val="none"/>
        <vertAlign val="baseline"/>
        <sz val="11"/>
        <color auto="1"/>
        <name val="Arial"/>
        <scheme val="none"/>
      </font>
      <fill>
        <patternFill patternType="solid">
          <fgColor indexed="64"/>
          <bgColor theme="9" tint="0.79998168889431442"/>
        </patternFill>
      </fill>
      <alignment horizontal="center" vertical="center" textRotation="0" wrapText="1" indent="0" justifyLastLine="0" shrinkToFit="0" readingOrder="0"/>
      <border diagonalUp="0" diagonalDown="0" outline="0">
        <left style="thin">
          <color auto="1"/>
        </left>
        <right/>
        <top style="thin">
          <color auto="1"/>
        </top>
        <bottom style="thin">
          <color auto="1"/>
        </bottom>
      </border>
    </dxf>
    <dxf>
      <font>
        <b val="0"/>
        <i/>
        <strike val="0"/>
        <condense val="0"/>
        <extend val="0"/>
        <outline val="0"/>
        <shadow val="0"/>
        <u val="none"/>
        <vertAlign val="baseline"/>
        <sz val="11"/>
        <color auto="1"/>
        <name val="Arial"/>
        <scheme val="none"/>
      </font>
      <fill>
        <patternFill patternType="solid">
          <fgColor indexed="64"/>
          <bgColor theme="9" tint="0.79998168889431442"/>
        </patternFill>
      </fill>
      <alignment horizontal="justify"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strike val="0"/>
        <condense val="0"/>
        <extend val="0"/>
        <outline val="0"/>
        <shadow val="0"/>
        <u val="none"/>
        <vertAlign val="baseline"/>
        <sz val="11"/>
        <color auto="1"/>
        <name val="Arial"/>
        <scheme val="none"/>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center" textRotation="0" indent="0" justifyLastLine="0" shrinkToFit="0" readingOrder="0"/>
    </dxf>
    <dxf>
      <alignment horizontal="center" vertical="center" textRotation="0" indent="0" justifyLastLine="0" shrinkToFit="0" readingOrder="0"/>
    </dxf>
    <dxf>
      <font>
        <i/>
        <color auto="1"/>
        <name val="Arial"/>
      </font>
      <fill>
        <patternFill patternType="solid">
          <fgColor indexed="64"/>
          <bgColor theme="9" tint="0.79998168889431442"/>
        </patternFill>
      </fill>
      <alignment horizontal="center" vertical="center" textRotation="0" wrapText="1" indent="0" justifyLastLine="0" shrinkToFit="0" readingOrder="0"/>
      <border diagonalUp="0" diagonalDown="0" outline="0">
        <left/>
        <right style="thin">
          <color auto="1"/>
        </right>
        <top style="thin">
          <color auto="1"/>
        </top>
        <bottom style="thin">
          <color auto="1"/>
        </bottom>
      </border>
    </dxf>
    <dxf>
      <font>
        <b/>
      </font>
      <alignment horizontal="center" vertical="center" textRotation="0" indent="0" justifyLastLine="0" shrinkToFit="0" readingOrder="0"/>
    </dxf>
    <dxf>
      <font>
        <b val="0"/>
        <i/>
        <strike val="0"/>
        <condense val="0"/>
        <extend val="0"/>
        <outline val="0"/>
        <shadow val="0"/>
        <u val="none"/>
        <vertAlign val="baseline"/>
        <sz val="11"/>
        <color auto="1"/>
        <name val="Arial"/>
        <scheme val="none"/>
      </font>
      <fill>
        <patternFill patternType="solid">
          <fgColor indexed="64"/>
          <bgColor theme="9" tint="0.79998168889431442"/>
        </patternFill>
      </fill>
      <alignment horizontal="center" vertical="center" textRotation="0" wrapText="1" indent="0" justifyLastLine="0" shrinkToFit="0" readingOrder="0"/>
      <border diagonalUp="0" diagonalDown="0" outline="0">
        <left style="thin">
          <color auto="1"/>
        </left>
        <right/>
        <top style="thin">
          <color auto="1"/>
        </top>
        <bottom style="thin">
          <color auto="1"/>
        </bottom>
      </border>
    </dxf>
    <dxf>
      <font>
        <b val="0"/>
        <i/>
        <strike val="0"/>
        <condense val="0"/>
        <extend val="0"/>
        <outline val="0"/>
        <shadow val="0"/>
        <u val="none"/>
        <vertAlign val="baseline"/>
        <sz val="11"/>
        <color auto="1"/>
        <name val="Arial"/>
        <scheme val="none"/>
      </font>
      <fill>
        <patternFill patternType="solid">
          <fgColor indexed="64"/>
          <bgColor theme="9" tint="0.7999816888943144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strike val="0"/>
        <condense val="0"/>
        <extend val="0"/>
        <outline val="0"/>
        <shadow val="0"/>
        <u val="none"/>
        <vertAlign val="baseline"/>
        <sz val="11"/>
        <color auto="1"/>
        <name val="Arial"/>
        <scheme val="none"/>
      </font>
      <fill>
        <patternFill patternType="solid">
          <fgColor indexed="64"/>
          <bgColor theme="9" tint="0.7999816888943144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alignment horizontal="center" vertical="center" textRotation="0" indent="0" justifyLastLine="0" shrinkToFit="0" readingOrder="0"/>
    </dxf>
    <dxf>
      <alignment horizontal="center" vertical="center" textRotation="0" indent="0" justifyLastLine="0" shrinkToFit="0" readingOrder="0"/>
    </dxf>
    <dxf>
      <numFmt numFmtId="166" formatCode="&quot;R$ &quot;#,##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scheme val="none"/>
      </font>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scheme val="none"/>
      </font>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scheme val="none"/>
      </font>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scheme val="none"/>
      </font>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scheme val="none"/>
      </font>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scheme val="none"/>
      </font>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scheme val="none"/>
      </font>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1"/>
        <color auto="1"/>
        <name val="Calibri"/>
        <scheme val="none"/>
      </font>
    </dxf>
    <dxf>
      <alignment horizontal="center" vertical="center" textRotation="0" wrapText="0" indent="0" justifyLastLine="0" shrinkToFit="0" readingOrder="0"/>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A9D18E"/>
      <rgbColor rgb="FF808080"/>
      <rgbColor rgb="FF5B9BD5"/>
      <rgbColor rgb="FF993366"/>
      <rgbColor rgb="FFF2F2F2"/>
      <rgbColor rgb="FFCCFFFF"/>
      <rgbColor rgb="FF660066"/>
      <rgbColor rgb="FFFF8080"/>
      <rgbColor rgb="FF0066CC"/>
      <rgbColor rgb="FFC5E0B4"/>
      <rgbColor rgb="FF000080"/>
      <rgbColor rgb="FFFF00FF"/>
      <rgbColor rgb="FFFFFF00"/>
      <rgbColor rgb="FF00FFFF"/>
      <rgbColor rgb="FF800080"/>
      <rgbColor rgb="FF800000"/>
      <rgbColor rgb="FF008080"/>
      <rgbColor rgb="FF0000FF"/>
      <rgbColor rgb="FF00CCFF"/>
      <rgbColor rgb="FFCCFFFF"/>
      <rgbColor rgb="FFE2F0D9"/>
      <rgbColor rgb="FFFFFF99"/>
      <rgbColor rgb="FF99CCFF"/>
      <rgbColor rgb="FFFF99CC"/>
      <rgbColor rgb="FFCC99FF"/>
      <rgbColor rgb="FFF4B183"/>
      <rgbColor rgb="FF3366FF"/>
      <rgbColor rgb="FF33CCCC"/>
      <rgbColor rgb="FF99CC00"/>
      <rgbColor rgb="FFFFCC00"/>
      <rgbColor rgb="FFFF9900"/>
      <rgbColor rgb="FFED7D31"/>
      <rgbColor rgb="FF44546A"/>
      <rgbColor rgb="FF70AD47"/>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CITL" displayName="CITL" ref="F15:G20" totalsRowShown="0">
  <autoFilter ref="F15:G20" xr:uid="{00000000-0009-0000-0100-000001000000}"/>
  <tableColumns count="2">
    <tableColumn id="1" xr3:uid="{00000000-0010-0000-0000-000001000000}" name="Descrição"/>
    <tableColumn id="2" xr3:uid="{00000000-0010-0000-0000-000002000000}" name="Percentual"/>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0" xr:uid="{00000000-000C-0000-FFFF-FFFF09000000}" name="ResumoPosto" displayName="ResumoPosto" ref="A140:D148" totalsRowShown="0">
  <autoFilter ref="A140:D148" xr:uid="{00000000-0009-0000-0100-000046000000}"/>
  <tableColumns count="4">
    <tableColumn id="1" xr3:uid="{00000000-0010-0000-0900-000001000000}" name="Item"/>
    <tableColumn id="2" xr3:uid="{00000000-0010-0000-0900-000002000000}" name="Mão de obra vinculada à execução contratual"/>
    <tableColumn id="3" xr3:uid="{00000000-0010-0000-0900-000003000000}" name="-"/>
    <tableColumn id="4" xr3:uid="{00000000-0010-0000-0900-000004000000}" name="Valor"/>
  </tableColumns>
  <tableStyleInfo showFirstColumn="0" showLastColumn="0" showRowStripes="1" showColumnStripes="0"/>
</table>
</file>

<file path=xl/tables/table10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6" xr:uid="{00000000-000C-0000-FFFF-FFFF63000000}" name="Submódulo4.260" displayName="Submódulo4.260" ref="A102:D104" totalsRowCount="1">
  <autoFilter ref="A102:D103" xr:uid="{00000000-0009-0000-0100-00007E000000}"/>
  <tableColumns count="4">
    <tableColumn id="1" xr3:uid="{00000000-0010-0000-6300-000001000000}" name="4.2" totalsRowLabel="Total"/>
    <tableColumn id="2" xr3:uid="{00000000-0010-0000-6300-000002000000}" name="Substituto na Intrajornada "/>
    <tableColumn id="3" xr3:uid="{00000000-0010-0000-6300-000003000000}" name="Comentário"/>
    <tableColumn id="4" xr3:uid="{00000000-0010-0000-6300-000004000000}" name="Valor" totalsRowFunction="custom">
      <totalsRowFormula>D103</totalsRowFormula>
    </tableColumn>
  </tableColumns>
  <tableStyleInfo showFirstColumn="0" showLastColumn="0" showRowStripes="1" showColumnStripes="0"/>
</table>
</file>

<file path=xl/tables/table10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1" xr:uid="{00000000-000C-0000-FFFF-FFFF64000000}" name="Table452" displayName="Table452" ref="A16:D21" totalsRowShown="0">
  <tableColumns count="4">
    <tableColumn id="1" xr3:uid="{00000000-0010-0000-6400-000001000000}" name="Item"/>
    <tableColumn id="2" xr3:uid="{00000000-0010-0000-6400-000002000000}" name="Descrição"/>
    <tableColumn id="3" xr3:uid="{00000000-0010-0000-6400-000003000000}" name="Comentário"/>
    <tableColumn id="4" xr3:uid="{00000000-0010-0000-6400-000004000000}" name="Valor"/>
  </tableColumns>
  <tableStyleInfo showFirstColumn="0" showLastColumn="0" showRowStripes="1" showColumnStripes="0"/>
</table>
</file>

<file path=xl/tables/table10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65000000}" name="Módulo153_141" displayName="Módulo153_141" ref="A24:D31" totalsRowCount="1">
  <autoFilter ref="A24:D30" xr:uid="{00000000-0009-0000-0100-000006000000}"/>
  <tableColumns count="4">
    <tableColumn id="1" xr3:uid="{00000000-0010-0000-6500-000001000000}" name="1" totalsRowLabel="Total"/>
    <tableColumn id="2" xr3:uid="{00000000-0010-0000-6500-000002000000}" name="Composição da Remuneração"/>
    <tableColumn id="3" xr3:uid="{00000000-0010-0000-6500-000003000000}" name="Comentário"/>
    <tableColumn id="4" xr3:uid="{00000000-0010-0000-6500-000004000000}" name="Valor" totalsRowFunction="custom">
      <totalsRowFormula>TRUNC((SUM(D25:D30)),2)</totalsRowFormula>
    </tableColumn>
  </tableColumns>
  <tableStyleInfo showFirstColumn="0" showLastColumn="0" showRowStripes="1" showColumnStripes="0"/>
</table>
</file>

<file path=xl/tables/table10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66000000}" name="Módulo358_140" displayName="Módulo358_140" ref="A76:D83" totalsRowCount="1">
  <autoFilter ref="A76:D82" xr:uid="{00000000-0009-0000-0100-000011000000}"/>
  <tableColumns count="4">
    <tableColumn id="1" xr3:uid="{00000000-0010-0000-6600-000001000000}" name="3" totalsRowLabel="Total"/>
    <tableColumn id="2" xr3:uid="{00000000-0010-0000-6600-000002000000}" name="Provisão para Rescisão"/>
    <tableColumn id="3" xr3:uid="{00000000-0010-0000-6600-000003000000}" name="Percentual" totalsRowFunction="custom">
      <totalsRowFormula>SUM(C77:C82)</totalsRowFormula>
    </tableColumn>
    <tableColumn id="4" xr3:uid="{00000000-0010-0000-6600-000004000000}" name="Valor" totalsRowFunction="custom">
      <totalsRowFormula>TRUNC((SUM(D77:D82)),2)</totalsRowFormula>
    </tableColumn>
  </tableColumns>
  <tableStyleInfo showFirstColumn="0" showLastColumn="0" showRowStripes="1" showColumnStripes="0"/>
</table>
</file>

<file path=xl/tables/table10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67000000}" name="Módulo562_133" displayName="Módulo562_133" ref="A113:D119" totalsRowCount="1">
  <autoFilter ref="A113:D118" xr:uid="{00000000-0009-0000-0100-00001C000000}"/>
  <tableColumns count="4">
    <tableColumn id="1" xr3:uid="{00000000-0010-0000-6700-000001000000}" name="5" totalsRowLabel="Total"/>
    <tableColumn id="2" xr3:uid="{00000000-0010-0000-6700-000002000000}" name="Insumos Diversos"/>
    <tableColumn id="3" xr3:uid="{00000000-0010-0000-6700-000003000000}" name="Comentário"/>
    <tableColumn id="4" xr3:uid="{00000000-0010-0000-6700-000004000000}" name="Valor" totalsRowFunction="custom">
      <totalsRowFormula>TRUNC(SUM(D114:D118),2)</totalsRowFormula>
    </tableColumn>
  </tableColumns>
  <tableStyleInfo showFirstColumn="0" showLastColumn="0" showRowStripes="1" showColumnStripes="0"/>
</table>
</file>

<file path=xl/tables/table10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68000000}" name="Módulo663_134" displayName="Módulo663_134" ref="A129:D136" totalsRowCount="1">
  <tableColumns count="4">
    <tableColumn id="1" xr3:uid="{00000000-0010-0000-6800-000001000000}" name="6" totalsRowLabel="Total" totalsRowDxfId="58"/>
    <tableColumn id="2" xr3:uid="{00000000-0010-0000-6800-000002000000}" name="Custos Indiretos, Tributos e Lucro"/>
    <tableColumn id="3" xr3:uid="{00000000-0010-0000-6800-000003000000}" name="Percentual" totalsRowDxfId="57"/>
    <tableColumn id="4" xr3:uid="{00000000-0010-0000-6800-000004000000}" name="Valor" totalsRowFunction="custom" totalsRowDxfId="56">
      <totalsRowFormula>TRUNC(SUM(D130:D132),2)</totalsRowFormula>
    </tableColumn>
  </tableColumns>
  <tableStyleInfo showFirstColumn="0" showLastColumn="0" showRowStripes="1" showColumnStripes="0"/>
</table>
</file>

<file path=xl/tables/table10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0" xr:uid="{00000000-000C-0000-FFFF-FFFF69000000}" name="ResumoMódulo257_135" displayName="ResumoMódulo257_135" ref="A69:D73" totalsRowCount="1">
  <autoFilter ref="A69:D72" xr:uid="{00000000-0009-0000-0100-000032000000}"/>
  <tableColumns count="4">
    <tableColumn id="1" xr3:uid="{00000000-0010-0000-6900-000001000000}" name="2" totalsRowLabel="Total"/>
    <tableColumn id="2" xr3:uid="{00000000-0010-0000-6900-000002000000}" name="Encargos e Benefícios Anuais, Mensais e Diários"/>
    <tableColumn id="3" xr3:uid="{00000000-0010-0000-6900-000003000000}" name="Comentário"/>
    <tableColumn id="4" xr3:uid="{00000000-0010-0000-6900-000004000000}" name="Valor" totalsRowFunction="custom">
      <totalsRowFormula>TRUNC((SUM(D70:D72)),2)</totalsRowFormula>
    </tableColumn>
  </tableColumns>
  <tableStyleInfo showFirstColumn="0" showLastColumn="0" showRowStripes="1" showColumnStripes="0"/>
</table>
</file>

<file path=xl/tables/table10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1" xr:uid="{00000000-000C-0000-FFFF-FFFF6A000000}" name="ResumoMódulo461_136" displayName="ResumoMódulo461_136" ref="A107:D110" totalsRowCount="1">
  <autoFilter ref="A107:D109" xr:uid="{00000000-0009-0000-0100-00003D000000}"/>
  <tableColumns count="4">
    <tableColumn id="1" xr3:uid="{00000000-0010-0000-6A00-000001000000}" name="4" totalsRowLabel="Total"/>
    <tableColumn id="2" xr3:uid="{00000000-0010-0000-6A00-000002000000}" name="Custo de Reposição do Profissional Ausente"/>
    <tableColumn id="3" xr3:uid="{00000000-0010-0000-6A00-000003000000}" name="Comentário" totalsRowLabel="*Nota: Se o titular USUFRUIR do descanso intrajornada, o total é o somatório dos subitens 4.1 e 4.2"/>
    <tableColumn id="4" xr3:uid="{00000000-0010-0000-6A00-000004000000}" name="Valor" totalsRowFunction="custom">
      <totalsRowFormula>TRUNC((SUM(D108:D109)),2)</totalsRowFormula>
    </tableColumn>
  </tableColumns>
  <tableStyleInfo showFirstColumn="0" showLastColumn="0" showRowStripes="1" showColumnStripes="0"/>
</table>
</file>

<file path=xl/tables/table10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2" xr:uid="{00000000-000C-0000-FFFF-FFFF6B000000}" name="ResumoPosto64_131" displayName="ResumoPosto64_131" ref="A140:D148" totalsRowShown="0">
  <autoFilter ref="A140:D148" xr:uid="{00000000-0009-0000-0100-000048000000}"/>
  <tableColumns count="4">
    <tableColumn id="1" xr3:uid="{00000000-0010-0000-6B00-000001000000}" name="Item"/>
    <tableColumn id="2" xr3:uid="{00000000-0010-0000-6B00-000002000000}" name="Mão de obra vinculada à execução contratual"/>
    <tableColumn id="3" xr3:uid="{00000000-0010-0000-6B00-000003000000}" name="-"/>
    <tableColumn id="4" xr3:uid="{00000000-0010-0000-6B00-000004000000}" name="Valor"/>
  </tableColumns>
  <tableStyleInfo showFirstColumn="0" showLastColumn="0" showRowStripes="1" showColumnStripes="0"/>
</table>
</file>

<file path=xl/tables/table10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3" xr:uid="{00000000-000C-0000-FFFF-FFFF6C000000}" name="Submódulo2.154_132" displayName="Submódulo2.154_132" ref="A36:D39" totalsRowCount="1">
  <autoFilter ref="A36:D38" xr:uid="{00000000-0009-0000-0100-000053000000}"/>
  <tableColumns count="4">
    <tableColumn id="1" xr3:uid="{00000000-0010-0000-6C00-000001000000}" name="2.1" totalsRowLabel="Total"/>
    <tableColumn id="2" xr3:uid="{00000000-0010-0000-6C00-000002000000}" name="13º (décimo terceiro) Salário, Férias e Adicional de Férias"/>
    <tableColumn id="3" xr3:uid="{00000000-0010-0000-6C00-000003000000}" name="Percentual"/>
    <tableColumn id="4" xr3:uid="{00000000-0010-0000-6C00-000004000000}" name="Valor" totalsRowFunction="custom">
      <totalsRowFormula>TRUNC((SUM(D37:D38)),2)</totalsRow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1" xr:uid="{00000000-000C-0000-FFFF-FFFF0A000000}" name="Submódulo2.1" displayName="Submódulo2.1" ref="A21:D24" totalsRowShown="0">
  <tableColumns count="4">
    <tableColumn id="1" xr3:uid="{00000000-0010-0000-0A00-000001000000}" name="2.1"/>
    <tableColumn id="2" xr3:uid="{00000000-0010-0000-0A00-000002000000}" name="13º (décimo terceiro) Salário, Férias e Adicional de Férias"/>
    <tableColumn id="3" xr3:uid="{00000000-0010-0000-0A00-000003000000}" name="Comentário"/>
    <tableColumn id="4" xr3:uid="{00000000-0010-0000-0A00-000004000000}" name="Valor"/>
  </tableColumns>
  <tableStyleInfo showFirstColumn="0" showLastColumn="0" showRowStripes="1" showColumnStripes="0"/>
</table>
</file>

<file path=xl/tables/table1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4" xr:uid="{00000000-000C-0000-FFFF-FFFF6D000000}" name="Submódulo2.255_130" displayName="Submódulo2.255_130" ref="A46:D55" totalsRowCount="1">
  <autoFilter ref="A46:D54" xr:uid="{00000000-0009-0000-0100-00005E000000}"/>
  <tableColumns count="4">
    <tableColumn id="1" xr3:uid="{00000000-0010-0000-6D00-000001000000}" name="2.2" totalsRowLabel="Total" totalsRowDxfId="55"/>
    <tableColumn id="2" xr3:uid="{00000000-0010-0000-6D00-000002000000}" name="GPS, FGTS e outras contribuições"/>
    <tableColumn id="3" xr3:uid="{00000000-0010-0000-6D00-000003000000}" name="Percentual" totalsRowFunction="custom" totalsRowDxfId="54">
      <totalsRowFormula>SUM(C47:C54)</totalsRowFormula>
    </tableColumn>
    <tableColumn id="4" xr3:uid="{00000000-0010-0000-6D00-000004000000}" name="Valor " totalsRowFunction="custom" totalsRowDxfId="53">
      <totalsRowFormula>TRUNC((SUM(D47:D54)),2)</totalsRowFormula>
    </tableColumn>
  </tableColumns>
  <tableStyleInfo showFirstColumn="0" showLastColumn="0" showRowStripes="1" showColumnStripes="0"/>
</table>
</file>

<file path=xl/tables/table1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5" xr:uid="{00000000-000C-0000-FFFF-FFFF6E000000}" name="Submódulo2.356_142" displayName="Submódulo2.356_142" ref="A58:D66" totalsRowCount="1">
  <autoFilter ref="A58:D65" xr:uid="{00000000-0009-0000-0100-000069000000}"/>
  <tableColumns count="4">
    <tableColumn id="1" xr3:uid="{00000000-0010-0000-6E00-000001000000}" name="2.3" totalsRowLabel="Total" totalsRowDxfId="52"/>
    <tableColumn id="2" xr3:uid="{00000000-0010-0000-6E00-000002000000}" name="Benefícios Mensais e Diários"/>
    <tableColumn id="3" xr3:uid="{00000000-0010-0000-6E00-000003000000}" name="Comentário"/>
    <tableColumn id="4" xr3:uid="{00000000-0010-0000-6E00-000004000000}" name="Valor" totalsRowFunction="custom" totalsRowDxfId="51">
      <totalsRowFormula>TRUNC((SUM(D59:D65)),2)</totalsRowFormula>
    </tableColumn>
  </tableColumns>
  <tableStyleInfo showFirstColumn="0" showLastColumn="0" showRowStripes="1" showColumnStripes="0"/>
</table>
</file>

<file path=xl/tables/table1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6" xr:uid="{00000000-000C-0000-FFFF-FFFF6F000000}" name="Submódulo4.159_137" displayName="Submódulo4.159_137" ref="A92:D99" totalsRowCount="1">
  <autoFilter ref="A92:D98" xr:uid="{00000000-0009-0000-0100-000074000000}"/>
  <tableColumns count="4">
    <tableColumn id="1" xr3:uid="{00000000-0010-0000-6F00-000001000000}" name="4.1" totalsRowLabel="Total"/>
    <tableColumn id="2" xr3:uid="{00000000-0010-0000-6F00-000002000000}" name="Substituto nas Ausências Legais"/>
    <tableColumn id="3" xr3:uid="{00000000-0010-0000-6F00-000003000000}" name="Percentual" totalsRowFunction="sum"/>
    <tableColumn id="4" xr3:uid="{00000000-0010-0000-6F00-000004000000}" name="Valor" totalsRowFunction="custom">
      <totalsRowFormula>TRUNC((SUM(D93:D98)),2)</totalsRowFormula>
    </tableColumn>
  </tableColumns>
  <tableStyleInfo showFirstColumn="0" showLastColumn="0" showRowStripes="1" showColumnStripes="0"/>
</table>
</file>

<file path=xl/tables/table1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7" xr:uid="{00000000-000C-0000-FFFF-FFFF70000000}" name="Submódulo4.260_138" displayName="Submódulo4.260_138" ref="A102:D104" totalsRowCount="1">
  <autoFilter ref="A102:D103" xr:uid="{00000000-0009-0000-0100-00007F000000}"/>
  <tableColumns count="4">
    <tableColumn id="1" xr3:uid="{00000000-0010-0000-7000-000001000000}" name="4.2" totalsRowLabel="Total"/>
    <tableColumn id="2" xr3:uid="{00000000-0010-0000-7000-000002000000}" name="Substituto na Intrajornada "/>
    <tableColumn id="3" xr3:uid="{00000000-0010-0000-7000-000003000000}" name="Comentário"/>
    <tableColumn id="4" xr3:uid="{00000000-0010-0000-7000-000004000000}" name="Valor" totalsRowFunction="custom">
      <totalsRowFormula>D103</totalsRowFormula>
    </tableColumn>
  </tableColumns>
  <tableStyleInfo showFirstColumn="0" showLastColumn="0" showRowStripes="1" showColumnStripes="0"/>
</table>
</file>

<file path=xl/tables/table1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2" xr:uid="{00000000-000C-0000-FFFF-FFFF71000000}" name="Table452_139" displayName="Table452_139" ref="A16:D21" totalsRowShown="0">
  <tableColumns count="4">
    <tableColumn id="1" xr3:uid="{00000000-0010-0000-7100-000001000000}" name="Item"/>
    <tableColumn id="2" xr3:uid="{00000000-0010-0000-7100-000002000000}" name="Descrição"/>
    <tableColumn id="3" xr3:uid="{00000000-0010-0000-7100-000003000000}" name="Comentário"/>
    <tableColumn id="4" xr3:uid="{00000000-0010-0000-7100-000004000000}" name="Valor"/>
  </tableColumns>
  <tableStyleInfo showFirstColumn="0" showLastColumn="0" showRowStripes="1" showColumnStripes="0"/>
</table>
</file>

<file path=xl/tables/table1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72000000}" name="Módulo153_14131" displayName="Módulo153_14131" ref="A24:D31" totalsRowCount="1">
  <autoFilter ref="A24:D30" xr:uid="{00000000-0009-0000-0100-000009000000}"/>
  <tableColumns count="4">
    <tableColumn id="1" xr3:uid="{00000000-0010-0000-7200-000001000000}" name="1" totalsRowLabel="Total"/>
    <tableColumn id="2" xr3:uid="{00000000-0010-0000-7200-000002000000}" name="Composição da Remuneração"/>
    <tableColumn id="3" xr3:uid="{00000000-0010-0000-7200-000003000000}" name="Comentário"/>
    <tableColumn id="4" xr3:uid="{00000000-0010-0000-7200-000004000000}" name="Valor" totalsRowFunction="custom">
      <totalsRowFormula>TRUNC((SUM(D25:D30)),2)</totalsRowFormula>
    </tableColumn>
  </tableColumns>
  <tableStyleInfo showFirstColumn="0" showLastColumn="0" showRowStripes="1" showColumnStripes="0"/>
</table>
</file>

<file path=xl/tables/table1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73000000}" name="Módulo358_14030" displayName="Módulo358_14030" ref="A76:D83" totalsRowCount="1">
  <autoFilter ref="A76:D82" xr:uid="{00000000-0009-0000-0100-000014000000}"/>
  <tableColumns count="4">
    <tableColumn id="1" xr3:uid="{00000000-0010-0000-7300-000001000000}" name="3" totalsRowLabel="Total"/>
    <tableColumn id="2" xr3:uid="{00000000-0010-0000-7300-000002000000}" name="Provisão para Rescisão"/>
    <tableColumn id="3" xr3:uid="{00000000-0010-0000-7300-000003000000}" name="Percentual" totalsRowFunction="custom">
      <totalsRowFormula>SUM(C77:C82)</totalsRowFormula>
    </tableColumn>
    <tableColumn id="4" xr3:uid="{00000000-0010-0000-7300-000004000000}" name="Valor" totalsRowFunction="custom">
      <totalsRowFormula>TRUNC((SUM(D77:D82)),2)</totalsRowFormula>
    </tableColumn>
  </tableColumns>
  <tableStyleInfo showFirstColumn="0" showLastColumn="0" showRowStripes="1" showColumnStripes="0"/>
</table>
</file>

<file path=xl/tables/table1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74000000}" name="Módulo562_13316" displayName="Módulo562_13316" ref="A113:D119" totalsRowCount="1">
  <autoFilter ref="A113:D118" xr:uid="{00000000-0009-0000-0100-00001E000000}"/>
  <tableColumns count="4">
    <tableColumn id="1" xr3:uid="{00000000-0010-0000-7400-000001000000}" name="5" totalsRowLabel="Total"/>
    <tableColumn id="2" xr3:uid="{00000000-0010-0000-7400-000002000000}" name="Insumos Diversos"/>
    <tableColumn id="3" xr3:uid="{00000000-0010-0000-7400-000003000000}" name="Comentário"/>
    <tableColumn id="4" xr3:uid="{00000000-0010-0000-7400-000004000000}" name="Valor" totalsRowFunction="custom">
      <totalsRowFormula>TRUNC(SUM(D114:D118),2)</totalsRowFormula>
    </tableColumn>
  </tableColumns>
  <tableStyleInfo showFirstColumn="0" showLastColumn="0" showRowStripes="1" showColumnStripes="0"/>
</table>
</file>

<file path=xl/tables/table1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75000000}" name="Módulo663_13418" displayName="Módulo663_13418" ref="A129:D136" totalsRowCount="1">
  <tableColumns count="4">
    <tableColumn id="1" xr3:uid="{00000000-0010-0000-7500-000001000000}" name="6" totalsRowLabel="Total" totalsRowDxfId="50"/>
    <tableColumn id="2" xr3:uid="{00000000-0010-0000-7500-000002000000}" name="Custos Indiretos, Tributos e Lucro"/>
    <tableColumn id="3" xr3:uid="{00000000-0010-0000-7500-000003000000}" name="Percentual" totalsRowDxfId="49"/>
    <tableColumn id="4" xr3:uid="{00000000-0010-0000-7500-000004000000}" name="Valor" totalsRowFunction="custom" totalsRowDxfId="48">
      <totalsRowFormula>TRUNC(SUM(D130:D132),2)</totalsRowFormula>
    </tableColumn>
  </tableColumns>
  <tableStyleInfo showFirstColumn="0" showLastColumn="0" showRowStripes="1" showColumnStripes="0"/>
</table>
</file>

<file path=xl/tables/table1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2" xr:uid="{00000000-000C-0000-FFFF-FFFF76000000}" name="ResumoMódulo257_13520" displayName="ResumoMódulo257_13520" ref="A69:D73" totalsRowCount="1">
  <autoFilter ref="A69:D72" xr:uid="{00000000-0009-0000-0100-000034000000}"/>
  <tableColumns count="4">
    <tableColumn id="1" xr3:uid="{00000000-0010-0000-7600-000001000000}" name="2" totalsRowLabel="Total"/>
    <tableColumn id="2" xr3:uid="{00000000-0010-0000-7600-000002000000}" name="Encargos e Benefícios Anuais, Mensais e Diários"/>
    <tableColumn id="3" xr3:uid="{00000000-0010-0000-7600-000003000000}" name="Comentário"/>
    <tableColumn id="4" xr3:uid="{00000000-0010-0000-7600-000004000000}" name="Valor" totalsRowFunction="custom">
      <totalsRowFormula>TRUNC((SUM(D70:D72)),2)</totalsRow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2" xr:uid="{00000000-000C-0000-FFFF-FFFF0B000000}" name="Submódulo2.2" displayName="Submódulo2.2" ref="A32:D41" totalsRowShown="0">
  <tableColumns count="4">
    <tableColumn id="1" xr3:uid="{00000000-0010-0000-0B00-000001000000}" name="2.2"/>
    <tableColumn id="2" xr3:uid="{00000000-0010-0000-0B00-000002000000}" name="GPS, FGTS e outras contribuições"/>
    <tableColumn id="3" xr3:uid="{00000000-0010-0000-0B00-000003000000}" name="Percentual"/>
    <tableColumn id="4" xr3:uid="{00000000-0010-0000-0B00-000004000000}" name="Valor "/>
  </tableColumns>
  <tableStyleInfo showFirstColumn="0" showLastColumn="0" showRowStripes="1" showColumnStripes="0"/>
</table>
</file>

<file path=xl/tables/table1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77000000}" name="ResumoMódulo461_13622" displayName="ResumoMódulo461_13622" ref="A107:D110" totalsRowCount="1">
  <autoFilter ref="A107:D109" xr:uid="{00000000-0009-0000-0100-00003F000000}"/>
  <tableColumns count="4">
    <tableColumn id="1" xr3:uid="{00000000-0010-0000-7700-000001000000}" name="4" totalsRowLabel="Total"/>
    <tableColumn id="2" xr3:uid="{00000000-0010-0000-7700-000002000000}" name="Custo de Reposição do Profissional Ausente"/>
    <tableColumn id="3" xr3:uid="{00000000-0010-0000-7700-000003000000}" name="Comentário" totalsRowLabel="*Nota: Se o titular USUFRUIR do descanso intrajornada, o total é o somatório dos subitens 4.1 e 4.2"/>
    <tableColumn id="4" xr3:uid="{00000000-0010-0000-7700-000004000000}" name="Valor" totalsRowFunction="custom">
      <totalsRowFormula>TRUNC((SUM(D108:D109)),2)</totalsRowFormula>
    </tableColumn>
  </tableColumns>
  <tableStyleInfo showFirstColumn="0" showLastColumn="0" showRowStripes="1" showColumnStripes="0"/>
</table>
</file>

<file path=xl/tables/table1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3" xr:uid="{00000000-000C-0000-FFFF-FFFF78000000}" name="ResumoPosto64_13112" displayName="ResumoPosto64_13112" ref="A140:D149" totalsRowShown="0">
  <autoFilter ref="A140:D149" xr:uid="{00000000-0009-0000-0100-000049000000}"/>
  <tableColumns count="4">
    <tableColumn id="1" xr3:uid="{00000000-0010-0000-7800-000001000000}" name="Item"/>
    <tableColumn id="2" xr3:uid="{00000000-0010-0000-7800-000002000000}" name="Mão de obra vinculada à execução contratual"/>
    <tableColumn id="3" xr3:uid="{00000000-0010-0000-7800-000003000000}" name="-"/>
    <tableColumn id="4" xr3:uid="{00000000-0010-0000-7800-000004000000}" name="Valor"/>
  </tableColumns>
  <tableStyleInfo showFirstColumn="0" showLastColumn="0" showRowStripes="1" showColumnStripes="0"/>
</table>
</file>

<file path=xl/tables/table1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4" xr:uid="{00000000-000C-0000-FFFF-FFFF79000000}" name="Submódulo2.154_13214" displayName="Submódulo2.154_13214" ref="A36:D39" totalsRowCount="1">
  <autoFilter ref="A36:D38" xr:uid="{00000000-0009-0000-0100-000054000000}"/>
  <tableColumns count="4">
    <tableColumn id="1" xr3:uid="{00000000-0010-0000-7900-000001000000}" name="2.1" totalsRowLabel="Total"/>
    <tableColumn id="2" xr3:uid="{00000000-0010-0000-7900-000002000000}" name="13º (décimo terceiro) Salário, Férias e Adicional de Férias"/>
    <tableColumn id="3" xr3:uid="{00000000-0010-0000-7900-000003000000}" name="Percentual"/>
    <tableColumn id="4" xr3:uid="{00000000-0010-0000-7900-000004000000}" name="Valor" totalsRowFunction="custom">
      <totalsRowFormula>TRUNC((SUM(D37:D38)),2)</totalsRowFormula>
    </tableColumn>
  </tableColumns>
  <tableStyleInfo showFirstColumn="0" showLastColumn="0" showRowStripes="1" showColumnStripes="0"/>
</table>
</file>

<file path=xl/tables/table1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5" xr:uid="{00000000-000C-0000-FFFF-FFFF7A000000}" name="Submódulo2.255_13010" displayName="Submódulo2.255_13010" ref="A46:D55" totalsRowCount="1">
  <autoFilter ref="A46:D54" xr:uid="{00000000-0009-0000-0100-00005F000000}"/>
  <tableColumns count="4">
    <tableColumn id="1" xr3:uid="{00000000-0010-0000-7A00-000001000000}" name="2.2" totalsRowLabel="Total" totalsRowDxfId="47"/>
    <tableColumn id="2" xr3:uid="{00000000-0010-0000-7A00-000002000000}" name="GPS, FGTS e outras contribuições"/>
    <tableColumn id="3" xr3:uid="{00000000-0010-0000-7A00-000003000000}" name="Percentual" totalsRowFunction="custom" totalsRowDxfId="46">
      <totalsRowFormula>SUM(C47:C54)</totalsRowFormula>
    </tableColumn>
    <tableColumn id="4" xr3:uid="{00000000-0010-0000-7A00-000004000000}" name="Valor " totalsRowFunction="custom" totalsRowDxfId="45">
      <totalsRowFormula>TRUNC((SUM(D47:D54)),2)</totalsRowFormula>
    </tableColumn>
  </tableColumns>
  <tableStyleInfo showFirstColumn="0" showLastColumn="0" showRowStripes="1" showColumnStripes="0"/>
</table>
</file>

<file path=xl/tables/table1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8" xr:uid="{00000000-000C-0000-FFFF-FFFF7B000000}" name="Submódulo2.356_14232" displayName="Submódulo2.356_14232" ref="A58:D66" totalsRowCount="1">
  <autoFilter ref="A58:D65" xr:uid="{00000000-0009-0000-0100-00006C000000}"/>
  <tableColumns count="4">
    <tableColumn id="1" xr3:uid="{00000000-0010-0000-7B00-000001000000}" name="2.3" totalsRowLabel="Total" totalsRowDxfId="44"/>
    <tableColumn id="2" xr3:uid="{00000000-0010-0000-7B00-000002000000}" name="Benefícios Mensais e Diários"/>
    <tableColumn id="3" xr3:uid="{00000000-0010-0000-7B00-000003000000}" name="Comentário"/>
    <tableColumn id="4" xr3:uid="{00000000-0010-0000-7B00-000004000000}" name="Valor" totalsRowFunction="custom" totalsRowDxfId="43">
      <totalsRowFormula>TRUNC((SUM(D59:D65)),2)</totalsRowFormula>
    </tableColumn>
  </tableColumns>
  <tableStyleInfo showFirstColumn="0" showLastColumn="0" showRowStripes="1" showColumnStripes="0"/>
</table>
</file>

<file path=xl/tables/table1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8" xr:uid="{00000000-000C-0000-FFFF-FFFF7C000000}" name="Submódulo4.159_13724" displayName="Submódulo4.159_13724" ref="A92:D99" totalsRowCount="1">
  <autoFilter ref="A92:D98" xr:uid="{00000000-0009-0000-0100-000076000000}"/>
  <tableColumns count="4">
    <tableColumn id="1" xr3:uid="{00000000-0010-0000-7C00-000001000000}" name="4.1" totalsRowLabel="Total"/>
    <tableColumn id="2" xr3:uid="{00000000-0010-0000-7C00-000002000000}" name="Substituto nas Ausências Legais"/>
    <tableColumn id="3" xr3:uid="{00000000-0010-0000-7C00-000003000000}" name="Percentual" totalsRowFunction="sum"/>
    <tableColumn id="4" xr3:uid="{00000000-0010-0000-7C00-000004000000}" name="Valor" totalsRowFunction="custom">
      <totalsRowFormula>TRUNC((SUM(D93:D98)),2)</totalsRowFormula>
    </tableColumn>
  </tableColumns>
  <tableStyleInfo showFirstColumn="0" showLastColumn="0" showRowStripes="1" showColumnStripes="0"/>
</table>
</file>

<file path=xl/tables/table1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9" xr:uid="{00000000-000C-0000-FFFF-FFFF7D000000}" name="Submódulo4.260_13826" displayName="Submódulo4.260_13826" ref="A102:D104" totalsRowCount="1">
  <autoFilter ref="A102:D103" xr:uid="{00000000-0009-0000-0100-000081000000}"/>
  <tableColumns count="4">
    <tableColumn id="1" xr3:uid="{00000000-0010-0000-7D00-000001000000}" name="4.2" totalsRowLabel="Total"/>
    <tableColumn id="2" xr3:uid="{00000000-0010-0000-7D00-000002000000}" name="Substituto na Intrajornada "/>
    <tableColumn id="3" xr3:uid="{00000000-0010-0000-7D00-000003000000}" name="Comentário"/>
    <tableColumn id="4" xr3:uid="{00000000-0010-0000-7D00-000004000000}" name="Valor" totalsRowFunction="custom">
      <totalsRowFormula>D103</totalsRowFormula>
    </tableColumn>
  </tableColumns>
  <tableStyleInfo showFirstColumn="0" showLastColumn="0" showRowStripes="1" showColumnStripes="0"/>
</table>
</file>

<file path=xl/tables/table1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5" xr:uid="{00000000-000C-0000-FFFF-FFFF7E000000}" name="Table452_13928" displayName="Table452_13928" ref="A16:D21" totalsRowShown="0">
  <tableColumns count="4">
    <tableColumn id="1" xr3:uid="{00000000-0010-0000-7E00-000001000000}" name="Item"/>
    <tableColumn id="2" xr3:uid="{00000000-0010-0000-7E00-000002000000}" name="Descrição"/>
    <tableColumn id="3" xr3:uid="{00000000-0010-0000-7E00-000003000000}" name="Comentário"/>
    <tableColumn id="4" xr3:uid="{00000000-0010-0000-7E00-000004000000}" name="Valor"/>
  </tableColumns>
  <tableStyleInfo showFirstColumn="0" showLastColumn="0" showRowStripes="1" showColumnStripes="0"/>
</table>
</file>

<file path=xl/tables/table1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7F000000}" name="Módulo153_141102" displayName="Módulo153_141102" ref="A24:D31" totalsRowCount="1">
  <autoFilter ref="A24:D30" xr:uid="{00000000-0009-0000-0100-000007000000}"/>
  <tableColumns count="4">
    <tableColumn id="1" xr3:uid="{00000000-0010-0000-7F00-000001000000}" name="1" totalsRowLabel="Total"/>
    <tableColumn id="2" xr3:uid="{00000000-0010-0000-7F00-000002000000}" name="Composição da Remuneração"/>
    <tableColumn id="3" xr3:uid="{00000000-0010-0000-7F00-000003000000}" name="Comentário"/>
    <tableColumn id="4" xr3:uid="{00000000-0010-0000-7F00-000004000000}" name="Valor" totalsRowFunction="custom">
      <totalsRowFormula>TRUNC((SUM(D25:D30)),2)</totalsRowFormula>
    </tableColumn>
  </tableColumns>
  <tableStyleInfo showFirstColumn="0" showLastColumn="0" showRowStripes="1" showColumnStripes="0"/>
</table>
</file>

<file path=xl/tables/table1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80000000}" name="Módulo358_140101" displayName="Módulo358_140101" ref="A76:D83" totalsRowCount="1">
  <autoFilter ref="A76:D82" xr:uid="{00000000-0009-0000-0100-000012000000}"/>
  <tableColumns count="4">
    <tableColumn id="1" xr3:uid="{00000000-0010-0000-8000-000001000000}" name="3" totalsRowLabel="Total"/>
    <tableColumn id="2" xr3:uid="{00000000-0010-0000-8000-000002000000}" name="Provisão para Rescisão"/>
    <tableColumn id="3" xr3:uid="{00000000-0010-0000-8000-000003000000}" name="Percentual" totalsRowFunction="custom">
      <totalsRowFormula>SUM(C77:C82)</totalsRowFormula>
    </tableColumn>
    <tableColumn id="4" xr3:uid="{00000000-0010-0000-8000-000004000000}" name="Valor" totalsRowFunction="custom">
      <totalsRowFormula>TRUNC((SUM(D77:D82)),2)</totalsRow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3" xr:uid="{00000000-000C-0000-FFFF-FFFF0C000000}" name="Submódulo2.3" displayName="Submódulo2.3" ref="A48:D53" totalsRowShown="0">
  <tableColumns count="4">
    <tableColumn id="1" xr3:uid="{00000000-0010-0000-0C00-000001000000}" name="2.3"/>
    <tableColumn id="2" xr3:uid="{00000000-0010-0000-0C00-000002000000}" name="Benefícios Mensais e Diários"/>
    <tableColumn id="3" xr3:uid="{00000000-0010-0000-0C00-000003000000}" name="Comentário"/>
    <tableColumn id="4" xr3:uid="{00000000-0010-0000-0C00-000004000000}" name="Valor"/>
  </tableColumns>
  <tableStyleInfo showFirstColumn="0" showLastColumn="0" showRowStripes="1" showColumnStripes="0"/>
</table>
</file>

<file path=xl/tables/table1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81000000}" name="Módulo562_13394" displayName="Módulo562_13394" ref="A113:D119" totalsRowCount="1">
  <autoFilter ref="A113:D118" xr:uid="{00000000-0009-0000-0100-00001F000000}"/>
  <tableColumns count="4">
    <tableColumn id="1" xr3:uid="{00000000-0010-0000-8100-000001000000}" name="5" totalsRowLabel="Total"/>
    <tableColumn id="2" xr3:uid="{00000000-0010-0000-8100-000002000000}" name="Insumos Diversos"/>
    <tableColumn id="3" xr3:uid="{00000000-0010-0000-8100-000003000000}" name="Comentário"/>
    <tableColumn id="4" xr3:uid="{00000000-0010-0000-8100-000004000000}" name="Valor" totalsRowFunction="custom">
      <totalsRowFormula>TRUNC(SUM(D114:D118),2)</totalsRowFormula>
    </tableColumn>
  </tableColumns>
  <tableStyleInfo showFirstColumn="0" showLastColumn="0" showRowStripes="1" showColumnStripes="0"/>
</table>
</file>

<file path=xl/tables/table1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82000000}" name="Módulo663_13495" displayName="Módulo663_13495" ref="A129:D136" totalsRowCount="1">
  <tableColumns count="4">
    <tableColumn id="1" xr3:uid="{00000000-0010-0000-8200-000001000000}" name="6" totalsRowLabel="Total" totalsRowDxfId="42"/>
    <tableColumn id="2" xr3:uid="{00000000-0010-0000-8200-000002000000}" name="Custos Indiretos, Tributos e Lucro"/>
    <tableColumn id="3" xr3:uid="{00000000-0010-0000-8200-000003000000}" name="Percentual" totalsRowDxfId="41"/>
    <tableColumn id="4" xr3:uid="{00000000-0010-0000-8200-000004000000}" name="Valor" totalsRowFunction="custom" totalsRowDxfId="40">
      <totalsRowFormula>TRUNC(SUM(D130:D132),2)</totalsRowFormula>
    </tableColumn>
  </tableColumns>
  <tableStyleInfo showFirstColumn="0" showLastColumn="0" showRowStripes="1" showColumnStripes="0"/>
</table>
</file>

<file path=xl/tables/table1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3" xr:uid="{00000000-000C-0000-FFFF-FFFF83000000}" name="ResumoMódulo257_13596" displayName="ResumoMódulo257_13596" ref="A69:D73" totalsRowCount="1">
  <autoFilter ref="A69:D72" xr:uid="{00000000-0009-0000-0100-000035000000}"/>
  <tableColumns count="4">
    <tableColumn id="1" xr3:uid="{00000000-0010-0000-8300-000001000000}" name="2" totalsRowLabel="Total"/>
    <tableColumn id="2" xr3:uid="{00000000-0010-0000-8300-000002000000}" name="Encargos e Benefícios Anuais, Mensais e Diários"/>
    <tableColumn id="3" xr3:uid="{00000000-0010-0000-8300-000003000000}" name="Comentário"/>
    <tableColumn id="4" xr3:uid="{00000000-0010-0000-8300-000004000000}" name="Valor" totalsRowFunction="custom">
      <totalsRowFormula>TRUNC((SUM(D70:D72)),2)</totalsRowFormula>
    </tableColumn>
  </tableColumns>
  <tableStyleInfo showFirstColumn="0" showLastColumn="0" showRowStripes="1" showColumnStripes="0"/>
</table>
</file>

<file path=xl/tables/table1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00000000-000C-0000-FFFF-FFFF84000000}" name="ResumoMódulo461_13697" displayName="ResumoMódulo461_13697" ref="A107:D110" totalsRowCount="1">
  <autoFilter ref="A107:D109" xr:uid="{00000000-0009-0000-0100-000040000000}"/>
  <tableColumns count="4">
    <tableColumn id="1" xr3:uid="{00000000-0010-0000-8400-000001000000}" name="4" totalsRowLabel="Total"/>
    <tableColumn id="2" xr3:uid="{00000000-0010-0000-8400-000002000000}" name="Custo de Reposição do Profissional Ausente"/>
    <tableColumn id="3" xr3:uid="{00000000-0010-0000-8400-000003000000}" name="Comentário" totalsRowLabel="*Nota: Se o titular USUFRUIR do descanso intrajornada, o total é o somatório dos subitens 4.1 e 4.2"/>
    <tableColumn id="4" xr3:uid="{00000000-0010-0000-8400-000004000000}" name="Valor" totalsRowFunction="custom">
      <totalsRowFormula>TRUNC((SUM(D108:D109)),2)</totalsRowFormula>
    </tableColumn>
  </tableColumns>
  <tableStyleInfo showFirstColumn="0" showLastColumn="0" showRowStripes="1" showColumnStripes="0"/>
</table>
</file>

<file path=xl/tables/table1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5" xr:uid="{00000000-000C-0000-FFFF-FFFF85000000}" name="ResumoPosto64_13192" displayName="ResumoPosto64_13192" ref="A140:D148" totalsRowShown="0">
  <autoFilter ref="A140:D148" xr:uid="{00000000-0009-0000-0100-00004B000000}"/>
  <tableColumns count="4">
    <tableColumn id="1" xr3:uid="{00000000-0010-0000-8500-000001000000}" name="Item"/>
    <tableColumn id="2" xr3:uid="{00000000-0010-0000-8500-000002000000}" name="Mão de obra vinculada à execução contratual"/>
    <tableColumn id="3" xr3:uid="{00000000-0010-0000-8500-000003000000}" name="-"/>
    <tableColumn id="4" xr3:uid="{00000000-0010-0000-8500-000004000000}" name="Valor"/>
  </tableColumns>
  <tableStyleInfo showFirstColumn="0" showLastColumn="0" showRowStripes="1" showColumnStripes="0"/>
</table>
</file>

<file path=xl/tables/table1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6" xr:uid="{00000000-000C-0000-FFFF-FFFF86000000}" name="Submódulo2.154_13293" displayName="Submódulo2.154_13293" ref="A36:D39" totalsRowCount="1">
  <autoFilter ref="A36:D38" xr:uid="{00000000-0009-0000-0100-000056000000}"/>
  <tableColumns count="4">
    <tableColumn id="1" xr3:uid="{00000000-0010-0000-8600-000001000000}" name="2.1" totalsRowLabel="Total"/>
    <tableColumn id="2" xr3:uid="{00000000-0010-0000-8600-000002000000}" name="13º (décimo terceiro) Salário, Férias e Adicional de Férias"/>
    <tableColumn id="3" xr3:uid="{00000000-0010-0000-8600-000003000000}" name="Percentual"/>
    <tableColumn id="4" xr3:uid="{00000000-0010-0000-8600-000004000000}" name="Valor" totalsRowFunction="custom">
      <totalsRowFormula>TRUNC((SUM(D37:D38)),2)</totalsRowFormula>
    </tableColumn>
  </tableColumns>
  <tableStyleInfo showFirstColumn="0" showLastColumn="0" showRowStripes="1" showColumnStripes="0"/>
</table>
</file>

<file path=xl/tables/table1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7" xr:uid="{00000000-000C-0000-FFFF-FFFF87000000}" name="Submódulo2.255_13091" displayName="Submódulo2.255_13091" ref="A46:D55" totalsRowCount="1">
  <autoFilter ref="A46:D54" xr:uid="{00000000-0009-0000-0100-000061000000}"/>
  <tableColumns count="4">
    <tableColumn id="1" xr3:uid="{00000000-0010-0000-8700-000001000000}" name="2.2" totalsRowLabel="Total" totalsRowDxfId="39"/>
    <tableColumn id="2" xr3:uid="{00000000-0010-0000-8700-000002000000}" name="GPS, FGTS e outras contribuições"/>
    <tableColumn id="3" xr3:uid="{00000000-0010-0000-8700-000003000000}" name="Percentual" totalsRowFunction="custom" totalsRowDxfId="38">
      <totalsRowFormula>SUM(C47:C54)</totalsRowFormula>
    </tableColumn>
    <tableColumn id="4" xr3:uid="{00000000-0010-0000-8700-000004000000}" name="Valor " totalsRowFunction="custom" totalsRowDxfId="37">
      <totalsRowFormula>TRUNC((SUM(D47:D54)),2)</totalsRowFormula>
    </tableColumn>
  </tableColumns>
  <tableStyleInfo showFirstColumn="0" showLastColumn="0" showRowStripes="1" showColumnStripes="0"/>
</table>
</file>

<file path=xl/tables/table1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6" xr:uid="{00000000-000C-0000-FFFF-FFFF88000000}" name="Submódulo2.356_142103" displayName="Submódulo2.356_142103" ref="A58:D66" totalsRowCount="1">
  <autoFilter ref="A58:D65" xr:uid="{00000000-0009-0000-0100-00006A000000}"/>
  <tableColumns count="4">
    <tableColumn id="1" xr3:uid="{00000000-0010-0000-8800-000001000000}" name="2.3" totalsRowLabel="Total" totalsRowDxfId="36"/>
    <tableColumn id="2" xr3:uid="{00000000-0010-0000-8800-000002000000}" name="Benefícios Mensais e Diários"/>
    <tableColumn id="3" xr3:uid="{00000000-0010-0000-8800-000003000000}" name="Comentário"/>
    <tableColumn id="4" xr3:uid="{00000000-0010-0000-8800-000004000000}" name="Valor" totalsRowFunction="custom" totalsRowDxfId="35">
      <totalsRowFormula>TRUNC((SUM(D59:D65)),2)</totalsRowFormula>
    </tableColumn>
  </tableColumns>
  <tableStyleInfo showFirstColumn="0" showLastColumn="0" showRowStripes="1" showColumnStripes="0"/>
</table>
</file>

<file path=xl/tables/table1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9" xr:uid="{00000000-000C-0000-FFFF-FFFF89000000}" name="Submódulo4.159_13798" displayName="Submódulo4.159_13798" ref="A92:D99" totalsRowCount="1">
  <autoFilter ref="A92:D98" xr:uid="{00000000-0009-0000-0100-000077000000}"/>
  <tableColumns count="4">
    <tableColumn id="1" xr3:uid="{00000000-0010-0000-8900-000001000000}" name="4.1" totalsRowLabel="Total"/>
    <tableColumn id="2" xr3:uid="{00000000-0010-0000-8900-000002000000}" name="Substituto nas Ausências Legais"/>
    <tableColumn id="3" xr3:uid="{00000000-0010-0000-8900-000003000000}" name="Percentual" totalsRowFunction="sum"/>
    <tableColumn id="4" xr3:uid="{00000000-0010-0000-8900-000004000000}" name="Valor" totalsRowFunction="custom">
      <totalsRowFormula>TRUNC((SUM(D93:D98)),2)</totalsRowFormula>
    </tableColumn>
  </tableColumns>
  <tableStyleInfo showFirstColumn="0" showLastColumn="0" showRowStripes="1" showColumnStripes="0"/>
</table>
</file>

<file path=xl/tables/table1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0" xr:uid="{00000000-000C-0000-FFFF-FFFF8A000000}" name="Submódulo4.260_13899" displayName="Submódulo4.260_13899" ref="A102:D104" totalsRowCount="1">
  <autoFilter ref="A102:D103" xr:uid="{00000000-0009-0000-0100-000082000000}"/>
  <tableColumns count="4">
    <tableColumn id="1" xr3:uid="{00000000-0010-0000-8A00-000001000000}" name="4.2" totalsRowLabel="Total"/>
    <tableColumn id="2" xr3:uid="{00000000-0010-0000-8A00-000002000000}" name="Substituto na Intrajornada "/>
    <tableColumn id="3" xr3:uid="{00000000-0010-0000-8A00-000003000000}" name="Comentário"/>
    <tableColumn id="4" xr3:uid="{00000000-0010-0000-8A00-000004000000}" name="Valor" totalsRowFunction="custom">
      <totalsRowFormula>D103</totalsRow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4" xr:uid="{00000000-000C-0000-FFFF-FFFF0D000000}" name="Submódulo4.1" displayName="Submódulo4.1" ref="A88:D95" totalsRowShown="0">
  <tableColumns count="4">
    <tableColumn id="1" xr3:uid="{00000000-0010-0000-0D00-000001000000}" name="4.1"/>
    <tableColumn id="2" xr3:uid="{00000000-0010-0000-0D00-000002000000}" name="Substituto nas Ausências Legais"/>
    <tableColumn id="3" xr3:uid="{00000000-0010-0000-0D00-000003000000}" name="Dias de ausência"/>
    <tableColumn id="4" xr3:uid="{00000000-0010-0000-0D00-000004000000}" name="Valor"/>
  </tableColumns>
  <tableStyleInfo showFirstColumn="0" showLastColumn="0" showRowStripes="1" showColumnStripes="0"/>
</table>
</file>

<file path=xl/tables/table1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3" xr:uid="{00000000-000C-0000-FFFF-FFFF8B000000}" name="Table452_139100" displayName="Table452_139100" ref="A16:D21" totalsRowShown="0">
  <tableColumns count="4">
    <tableColumn id="1" xr3:uid="{00000000-0010-0000-8B00-000001000000}" name="Item"/>
    <tableColumn id="2" xr3:uid="{00000000-0010-0000-8B00-000002000000}" name="Descrição"/>
    <tableColumn id="3" xr3:uid="{00000000-0010-0000-8B00-000003000000}" name="Comentário"/>
    <tableColumn id="4" xr3:uid="{00000000-0010-0000-8B00-000004000000}" name="Valor"/>
  </tableColumns>
  <tableStyleInfo showFirstColumn="0" showLastColumn="0" showRowStripes="1" showColumnStripes="0"/>
</table>
</file>

<file path=xl/tables/table1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8C000000}" name="Módulo153_141155" displayName="Módulo153_141155" ref="A24:D31" totalsRowCount="1">
  <autoFilter ref="A24:D30" xr:uid="{00000000-0009-0000-0100-000008000000}"/>
  <tableColumns count="4">
    <tableColumn id="1" xr3:uid="{00000000-0010-0000-8C00-000001000000}" name="1" totalsRowLabel="Total"/>
    <tableColumn id="2" xr3:uid="{00000000-0010-0000-8C00-000002000000}" name="Composição da Remuneração"/>
    <tableColumn id="3" xr3:uid="{00000000-0010-0000-8C00-000003000000}" name="Comentário"/>
    <tableColumn id="4" xr3:uid="{00000000-0010-0000-8C00-000004000000}" name="Valor" totalsRowFunction="custom">
      <totalsRowFormula>TRUNC((SUM(D25:D30)),2)</totalsRowFormula>
    </tableColumn>
  </tableColumns>
  <tableStyleInfo showFirstColumn="0" showLastColumn="0" showRowStripes="1" showColumnStripes="0"/>
</table>
</file>

<file path=xl/tables/table1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8D000000}" name="Módulo358_140154" displayName="Módulo358_140154" ref="A76:D83" totalsRowCount="1">
  <autoFilter ref="A76:D82" xr:uid="{00000000-0009-0000-0100-000013000000}"/>
  <tableColumns count="4">
    <tableColumn id="1" xr3:uid="{00000000-0010-0000-8D00-000001000000}" name="3" totalsRowLabel="Total"/>
    <tableColumn id="2" xr3:uid="{00000000-0010-0000-8D00-000002000000}" name="Provisão para Rescisão"/>
    <tableColumn id="3" xr3:uid="{00000000-0010-0000-8D00-000003000000}" name="Percentual" totalsRowFunction="custom">
      <totalsRowFormula>SUM(C77:C82)</totalsRowFormula>
    </tableColumn>
    <tableColumn id="4" xr3:uid="{00000000-0010-0000-8D00-000004000000}" name="Valor" totalsRowFunction="custom">
      <totalsRowFormula>TRUNC((SUM(D77:D82)),2)</totalsRowFormula>
    </tableColumn>
  </tableColumns>
  <tableStyleInfo showFirstColumn="0" showLastColumn="0" showRowStripes="1" showColumnStripes="0"/>
</table>
</file>

<file path=xl/tables/table1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8E000000}" name="Módulo562_133147" displayName="Módulo562_133147" ref="A113:D119" totalsRowCount="1">
  <autoFilter ref="A113:D118" xr:uid="{00000000-0009-0000-0100-00001D000000}"/>
  <tableColumns count="4">
    <tableColumn id="1" xr3:uid="{00000000-0010-0000-8E00-000001000000}" name="5" totalsRowLabel="Total"/>
    <tableColumn id="2" xr3:uid="{00000000-0010-0000-8E00-000002000000}" name="Insumos Diversos"/>
    <tableColumn id="3" xr3:uid="{00000000-0010-0000-8E00-000003000000}" name="Comentário"/>
    <tableColumn id="4" xr3:uid="{00000000-0010-0000-8E00-000004000000}" name="Valor" totalsRowFunction="custom">
      <totalsRowFormula>SUM(D114:D118)</totalsRowFormula>
    </tableColumn>
  </tableColumns>
  <tableStyleInfo showFirstColumn="0" showLastColumn="0" showRowStripes="1" showColumnStripes="0"/>
</table>
</file>

<file path=xl/tables/table1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8F000000}" name="Módulo663_134148" displayName="Módulo663_134148" ref="A129:D136" totalsRowCount="1">
  <tableColumns count="4">
    <tableColumn id="1" xr3:uid="{00000000-0010-0000-8F00-000001000000}" name="6" totalsRowLabel="Total" totalsRowDxfId="34"/>
    <tableColumn id="2" xr3:uid="{00000000-0010-0000-8F00-000002000000}" name="Custos Indiretos, Tributos e Lucro"/>
    <tableColumn id="3" xr3:uid="{00000000-0010-0000-8F00-000003000000}" name="Percentual" totalsRowDxfId="33"/>
    <tableColumn id="4" xr3:uid="{00000000-0010-0000-8F00-000004000000}" name="Valor" totalsRowFunction="custom" totalsRowDxfId="32">
      <totalsRowFormula>TRUNC(SUM(D130:D132),2)</totalsRowFormula>
    </tableColumn>
  </tableColumns>
  <tableStyleInfo showFirstColumn="0" showLastColumn="0" showRowStripes="1" showColumnStripes="0"/>
</table>
</file>

<file path=xl/tables/table1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1" xr:uid="{00000000-000C-0000-FFFF-FFFF90000000}" name="ResumoMódulo257_135149" displayName="ResumoMódulo257_135149" ref="A69:D73" totalsRowCount="1">
  <autoFilter ref="A69:D72" xr:uid="{00000000-0009-0000-0100-000033000000}"/>
  <tableColumns count="4">
    <tableColumn id="1" xr3:uid="{00000000-0010-0000-9000-000001000000}" name="2" totalsRowLabel="Total"/>
    <tableColumn id="2" xr3:uid="{00000000-0010-0000-9000-000002000000}" name="Encargos e Benefícios Anuais, Mensais e Diários"/>
    <tableColumn id="3" xr3:uid="{00000000-0010-0000-9000-000003000000}" name="Comentário"/>
    <tableColumn id="4" xr3:uid="{00000000-0010-0000-9000-000004000000}" name="Valor" totalsRowFunction="custom">
      <totalsRowFormula>TRUNC((SUM(D70:D72)),2)</totalsRowFormula>
    </tableColumn>
  </tableColumns>
  <tableStyleInfo showFirstColumn="0" showLastColumn="0" showRowStripes="1" showColumnStripes="0"/>
</table>
</file>

<file path=xl/tables/table1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2" xr:uid="{00000000-000C-0000-FFFF-FFFF91000000}" name="ResumoMódulo461_136150" displayName="ResumoMódulo461_136150" ref="A107:D110" totalsRowCount="1">
  <autoFilter ref="A107:D109" xr:uid="{00000000-0009-0000-0100-00003E000000}"/>
  <tableColumns count="4">
    <tableColumn id="1" xr3:uid="{00000000-0010-0000-9100-000001000000}" name="4" totalsRowLabel="Total"/>
    <tableColumn id="2" xr3:uid="{00000000-0010-0000-9100-000002000000}" name="Custo de Reposição do Profissional Ausente"/>
    <tableColumn id="3" xr3:uid="{00000000-0010-0000-9100-000003000000}" name="Comentário" totalsRowLabel="*Nota: Se o titular USUFRUIR do descanso intrajornada, o total é o somatório dos subitens 4.1 e 4.2"/>
    <tableColumn id="4" xr3:uid="{00000000-0010-0000-9100-000004000000}" name="Valor" totalsRowFunction="custom">
      <totalsRowFormula>TRUNC((SUM(D108:D109)),2)</totalsRowFormula>
    </tableColumn>
  </tableColumns>
  <tableStyleInfo showFirstColumn="0" showLastColumn="0" showRowStripes="1" showColumnStripes="0"/>
</table>
</file>

<file path=xl/tables/table1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4" xr:uid="{00000000-000C-0000-FFFF-FFFF92000000}" name="ResumoPosto64_131145" displayName="ResumoPosto64_131145" ref="A140:D149" totalsRowCount="1">
  <autoFilter ref="A140:D148" xr:uid="{00000000-0009-0000-0100-00004A000000}"/>
  <tableColumns count="4">
    <tableColumn id="1" xr3:uid="{00000000-0010-0000-9200-000001000000}" name="Item"/>
    <tableColumn id="2" xr3:uid="{00000000-0010-0000-9200-000002000000}" name="Mão de obra vinculada à execução contratual"/>
    <tableColumn id="3" xr3:uid="{00000000-0010-0000-9200-000003000000}" name="-"/>
    <tableColumn id="4" xr3:uid="{00000000-0010-0000-9200-000004000000}" name="Valor"/>
  </tableColumns>
  <tableStyleInfo showFirstColumn="0" showLastColumn="0" showRowStripes="1" showColumnStripes="0"/>
</table>
</file>

<file path=xl/tables/table1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5" xr:uid="{00000000-000C-0000-FFFF-FFFF93000000}" name="Submódulo2.154_132146" displayName="Submódulo2.154_132146" ref="A36:D39" totalsRowCount="1">
  <autoFilter ref="A36:D38" xr:uid="{00000000-0009-0000-0100-000055000000}"/>
  <tableColumns count="4">
    <tableColumn id="1" xr3:uid="{00000000-0010-0000-9300-000001000000}" name="2.1" totalsRowLabel="Total"/>
    <tableColumn id="2" xr3:uid="{00000000-0010-0000-9300-000002000000}" name="13º (décimo terceiro) Salário, Férias e Adicional de Férias"/>
    <tableColumn id="3" xr3:uid="{00000000-0010-0000-9300-000003000000}" name="Percentual"/>
    <tableColumn id="4" xr3:uid="{00000000-0010-0000-9300-000004000000}" name="Valor" totalsRowFunction="custom">
      <totalsRowFormula>TRUNC((SUM(D37:D38)),2)</totalsRowFormula>
    </tableColumn>
  </tableColumns>
  <tableStyleInfo showFirstColumn="0" showLastColumn="0" showRowStripes="1" showColumnStripes="0"/>
</table>
</file>

<file path=xl/tables/table1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6" xr:uid="{00000000-000C-0000-FFFF-FFFF94000000}" name="Submódulo2.255_130144" displayName="Submódulo2.255_130144" ref="A46:D55" totalsRowCount="1">
  <autoFilter ref="A46:D54" xr:uid="{00000000-0009-0000-0100-000060000000}"/>
  <tableColumns count="4">
    <tableColumn id="1" xr3:uid="{00000000-0010-0000-9400-000001000000}" name="2.2" totalsRowLabel="Total" totalsRowDxfId="31"/>
    <tableColumn id="2" xr3:uid="{00000000-0010-0000-9400-000002000000}" name="GPS, FGTS e outras contribuições"/>
    <tableColumn id="3" xr3:uid="{00000000-0010-0000-9400-000003000000}" name="Percentual" totalsRowFunction="custom" totalsRowDxfId="30">
      <totalsRowFormula>SUM(C47:C54)</totalsRowFormula>
    </tableColumn>
    <tableColumn id="4" xr3:uid="{00000000-0010-0000-9400-000004000000}" name="Valor " totalsRowFunction="custom" totalsRowDxfId="29">
      <totalsRowFormula>TRUNC((SUM(D47:D54)),2)</totalsRow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5" xr:uid="{00000000-000C-0000-FFFF-FFFF0E000000}" name="Submódulo4.2" displayName="Submódulo4.2" ref="A103:D105" totalsRowShown="0">
  <tableColumns count="4">
    <tableColumn id="1" xr3:uid="{00000000-0010-0000-0E00-000001000000}" name="4.2"/>
    <tableColumn id="2" xr3:uid="{00000000-0010-0000-0E00-000002000000}" name="Substituto na Intrajornada "/>
    <tableColumn id="3" xr3:uid="{00000000-0010-0000-0E00-000003000000}" name="Comentário"/>
    <tableColumn id="4" xr3:uid="{00000000-0010-0000-0E00-000004000000}" name="Valor"/>
  </tableColumns>
  <tableStyleInfo showFirstColumn="0" showLastColumn="0" showRowStripes="1" showColumnStripes="0"/>
</table>
</file>

<file path=xl/tables/table15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7" xr:uid="{00000000-000C-0000-FFFF-FFFF95000000}" name="Submódulo2.356_142156" displayName="Submódulo2.356_142156" ref="A58:D66" totalsRowCount="1">
  <autoFilter ref="A58:D65" xr:uid="{00000000-0009-0000-0100-00006B000000}"/>
  <tableColumns count="4">
    <tableColumn id="1" xr3:uid="{00000000-0010-0000-9500-000001000000}" name="2.3" totalsRowLabel="Total" totalsRowDxfId="28"/>
    <tableColumn id="2" xr3:uid="{00000000-0010-0000-9500-000002000000}" name="Benefícios Mensais e Diários"/>
    <tableColumn id="3" xr3:uid="{00000000-0010-0000-9500-000003000000}" name="Comentário"/>
    <tableColumn id="4" xr3:uid="{00000000-0010-0000-9500-000004000000}" name="Valor" totalsRowFunction="custom" totalsRowDxfId="27">
      <totalsRowFormula>TRUNC((SUM(D59:D65)),2)</totalsRowFormula>
    </tableColumn>
  </tableColumns>
  <tableStyleInfo showFirstColumn="0" showLastColumn="0" showRowStripes="1" showColumnStripes="0"/>
</table>
</file>

<file path=xl/tables/table15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7" xr:uid="{00000000-000C-0000-FFFF-FFFF96000000}" name="Submódulo4.159_137151" displayName="Submódulo4.159_137151" ref="A92:D99" totalsRowCount="1">
  <autoFilter ref="A92:D98" xr:uid="{00000000-0009-0000-0100-000075000000}"/>
  <tableColumns count="4">
    <tableColumn id="1" xr3:uid="{00000000-0010-0000-9600-000001000000}" name="4.1" totalsRowLabel="Total"/>
    <tableColumn id="2" xr3:uid="{00000000-0010-0000-9600-000002000000}" name="Substituto nas Ausências Legais"/>
    <tableColumn id="3" xr3:uid="{00000000-0010-0000-9600-000003000000}" name="Percentual" totalsRowFunction="sum"/>
    <tableColumn id="4" xr3:uid="{00000000-0010-0000-9600-000004000000}" name="Valor" totalsRowFunction="custom">
      <totalsRowFormula>TRUNC((SUM(D93:D98)),2)</totalsRowFormula>
    </tableColumn>
  </tableColumns>
  <tableStyleInfo showFirstColumn="0" showLastColumn="0" showRowStripes="1" showColumnStripes="0"/>
</table>
</file>

<file path=xl/tables/table15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8" xr:uid="{00000000-000C-0000-FFFF-FFFF97000000}" name="Submódulo4.260_138152" displayName="Submódulo4.260_138152" ref="A102:D104" totalsRowCount="1">
  <autoFilter ref="A102:D103" xr:uid="{00000000-0009-0000-0100-000080000000}"/>
  <tableColumns count="4">
    <tableColumn id="1" xr3:uid="{00000000-0010-0000-9700-000001000000}" name="4.2" totalsRowLabel="Total"/>
    <tableColumn id="2" xr3:uid="{00000000-0010-0000-9700-000002000000}" name="Substituto na Intrajornada "/>
    <tableColumn id="3" xr3:uid="{00000000-0010-0000-9700-000003000000}" name="Comentário"/>
    <tableColumn id="4" xr3:uid="{00000000-0010-0000-9700-000004000000}" name="Valor" totalsRowFunction="custom">
      <totalsRowFormula>D103</totalsRowFormula>
    </tableColumn>
  </tableColumns>
  <tableStyleInfo showFirstColumn="0" showLastColumn="0" showRowStripes="1" showColumnStripes="0"/>
</table>
</file>

<file path=xl/tables/table15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4" xr:uid="{00000000-000C-0000-FFFF-FFFF98000000}" name="Table452_139153" displayName="Table452_139153" ref="A16:D21" totalsRowShown="0">
  <tableColumns count="4">
    <tableColumn id="1" xr3:uid="{00000000-0010-0000-9800-000001000000}" name="Item"/>
    <tableColumn id="2" xr3:uid="{00000000-0010-0000-9800-000002000000}" name="Descrição"/>
    <tableColumn id="3" xr3:uid="{00000000-0010-0000-9800-000003000000}" name="Comentário"/>
    <tableColumn id="4" xr3:uid="{00000000-0010-0000-9800-000004000000}" name="Valor"/>
  </tableColumns>
  <tableStyleInfo showFirstColumn="0" showLastColumn="0" showRowStripes="1" showColumnStripes="0"/>
</table>
</file>

<file path=xl/tables/table15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8" xr:uid="{00000000-000C-0000-FFFF-FFFF99000000}" name="Table43_143" displayName="Table43_143" ref="A3:H16" totalsRowShown="0" dataDxfId="26">
  <autoFilter ref="A3:H16" xr:uid="{00000000-0009-0000-0100-00008A000000}"/>
  <tableColumns count="8">
    <tableColumn id="1" xr3:uid="{00000000-0010-0000-9900-000001000000}" name="ITEM" dataDxfId="25"/>
    <tableColumn id="2" xr3:uid="{00000000-0010-0000-9900-000002000000}" name="PEÇA" dataDxfId="24"/>
    <tableColumn id="3" xr3:uid="{00000000-0010-0000-9900-000003000000}" name="DESCRIÇÃO" dataDxfId="23"/>
    <tableColumn id="4" xr3:uid="{00000000-0010-0000-9900-000004000000}" name="UNIDADE" dataDxfId="22"/>
    <tableColumn id="5" xr3:uid="{00000000-0010-0000-9900-000005000000}" name="VALOR MÉDIO UNITÁRIO (R$)" dataDxfId="21"/>
    <tableColumn id="6" xr3:uid="{00000000-0010-0000-9900-000006000000}" name="QUANTIDADE ANUAL" dataDxfId="20"/>
    <tableColumn id="7" xr3:uid="{00000000-0010-0000-9900-000007000000}" name="VALOR ANUAL POR EMPREGADO (R$)" dataDxfId="19">
      <calculatedColumnFormula>TRUNC(F4*E4,2)</calculatedColumnFormula>
    </tableColumn>
    <tableColumn id="8" xr3:uid="{00000000-0010-0000-9900-000008000000}" name="VALOR MENSAL POR EMPREGADO (R$)" totalsRowFunction="sum" dataDxfId="18">
      <calculatedColumnFormula>TRUNC(G4/12,2)</calculatedColumnFormula>
    </tableColumn>
  </tableColumns>
  <tableStyleInfo showFirstColumn="0" showLastColumn="0" showRowStripes="1" showColumnStripes="0"/>
</table>
</file>

<file path=xl/tables/table15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9" xr:uid="{00000000-000C-0000-FFFF-FFFF9A000000}" name="Table43_143158" displayName="Table43_143158" ref="A135:H141" totalsRowShown="0">
  <autoFilter ref="A135:H141" xr:uid="{00000000-0009-0000-0100-00008B000000}"/>
  <tableColumns count="8">
    <tableColumn id="1" xr3:uid="{00000000-0010-0000-9A00-000001000000}" name="ITEM"/>
    <tableColumn id="2" xr3:uid="{00000000-0010-0000-9A00-000002000000}" name="PEÇA" dataDxfId="17"/>
    <tableColumn id="3" xr3:uid="{00000000-0010-0000-9A00-000003000000}" name="DESCRIÇÃO" dataDxfId="16"/>
    <tableColumn id="4" xr3:uid="{00000000-0010-0000-9A00-000004000000}" name="UNIDADE" dataDxfId="15"/>
    <tableColumn id="5" xr3:uid="{00000000-0010-0000-9A00-000005000000}" name="VALOR MÉDIO UNITÁRIO (R$)" dataDxfId="14"/>
    <tableColumn id="6" xr3:uid="{00000000-0010-0000-9A00-000006000000}" name="QUANTIDADE ANUAL" dataDxfId="13"/>
    <tableColumn id="7" xr3:uid="{00000000-0010-0000-9A00-000007000000}" name="VALOR ANUAL POR EMPREGADO (R$)"/>
    <tableColumn id="8" xr3:uid="{00000000-0010-0000-9A00-000008000000}" name="VALOR MENSAL POR EMPREGADO (R$)" totalsRowFunction="sum"/>
  </tableColumns>
  <tableStyleInfo showFirstColumn="0" showLastColumn="0" showRowStripes="1" showColumnStripes="0"/>
</table>
</file>

<file path=xl/tables/table15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0" xr:uid="{00000000-000C-0000-FFFF-FFFF9B000000}" name="Table43_143158159" displayName="Table43_143158159" ref="A147:H155" totalsRowShown="0">
  <autoFilter ref="A147:H155" xr:uid="{00000000-0009-0000-0100-00008C000000}"/>
  <tableColumns count="8">
    <tableColumn id="1" xr3:uid="{00000000-0010-0000-9B00-000001000000}" name="ITEM" dataDxfId="12"/>
    <tableColumn id="2" xr3:uid="{00000000-0010-0000-9B00-000002000000}" name="PEÇA" dataDxfId="11"/>
    <tableColumn id="3" xr3:uid="{00000000-0010-0000-9B00-000003000000}" name="DESCRIÇÃO" dataDxfId="10"/>
    <tableColumn id="4" xr3:uid="{00000000-0010-0000-9B00-000004000000}" name="UNIDADE" dataDxfId="9"/>
    <tableColumn id="5" xr3:uid="{00000000-0010-0000-9B00-000005000000}" name="VALOR MÉDIO UNITÁRIO (R$)" dataDxfId="8"/>
    <tableColumn id="6" xr3:uid="{00000000-0010-0000-9B00-000006000000}" name="QUANTIDADE ANUAL" dataDxfId="7"/>
    <tableColumn id="7" xr3:uid="{00000000-0010-0000-9B00-000007000000}" name="VALOR ANUAL POR EMPREGADO (R$)"/>
    <tableColumn id="8" xr3:uid="{00000000-0010-0000-9B00-000008000000}" name="VALOR MENSAL POR EMPREGADO (R$)" totalsRowFunction="sum"/>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7" xr:uid="{00000000-000C-0000-FFFF-FFFF0F000000}" name="Table4" displayName="Table4" ref="A2:D7" totalsRowShown="0">
  <tableColumns count="4">
    <tableColumn id="1" xr3:uid="{00000000-0010-0000-0F00-000001000000}" name="Item"/>
    <tableColumn id="2" xr3:uid="{00000000-0010-0000-0F00-000002000000}" name="Descrição"/>
    <tableColumn id="3" xr3:uid="{00000000-0010-0000-0F00-000003000000}" name="Comentário"/>
    <tableColumn id="4" xr3:uid="{00000000-0010-0000-0F00-000004000000}" name="Valor"/>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1" xr:uid="{00000000-000C-0000-FFFF-FFFF10000000}" name="Table8" displayName="Table8" ref="A27:D29" totalsRowShown="0">
  <autoFilter ref="A27:D29" xr:uid="{00000000-0009-0000-0100-000097000000}"/>
  <tableColumns count="4">
    <tableColumn id="1" xr3:uid="{00000000-0010-0000-1000-000001000000}" name="Item"/>
    <tableColumn id="2" xr3:uid="{00000000-0010-0000-1000-000002000000}" name="Rubrica"/>
    <tableColumn id="3" xr3:uid="{00000000-0010-0000-1000-000003000000}" name="Base de Cálculo"/>
    <tableColumn id="4" xr3:uid="{00000000-0010-0000-1000-000004000000}" name="Memória de Cálculo"/>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2" xr:uid="{00000000-000C-0000-FFFF-FFFF11000000}" name="Table839" displayName="Table839" ref="A44:D45" totalsRowShown="0">
  <autoFilter ref="A44:D45" xr:uid="{00000000-0009-0000-0100-000098000000}"/>
  <tableColumns count="4">
    <tableColumn id="1" xr3:uid="{00000000-0010-0000-1100-000001000000}" name="Item"/>
    <tableColumn id="2" xr3:uid="{00000000-0010-0000-1100-000002000000}" name="Rubrica"/>
    <tableColumn id="3" xr3:uid="{00000000-0010-0000-1100-000003000000}" name="Base de Cálculo"/>
    <tableColumn id="4" xr3:uid="{00000000-0010-0000-1100-000004000000}" name="Memória de Cálculo"/>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3" xr:uid="{00000000-000C-0000-FFFF-FFFF12000000}" name="Table842" displayName="Table842" ref="A56:D58" totalsRowShown="0">
  <autoFilter ref="A56:D58" xr:uid="{00000000-0009-0000-0100-000099000000}"/>
  <tableColumns count="4">
    <tableColumn id="1" xr3:uid="{00000000-0010-0000-1200-000001000000}" name="Item"/>
    <tableColumn id="2" xr3:uid="{00000000-0010-0000-1200-000002000000}" name="Rubrica"/>
    <tableColumn id="3" xr3:uid="{00000000-0010-0000-1200-000003000000}" name="Base de Cálculo"/>
    <tableColumn id="4" xr3:uid="{00000000-0010-0000-1200-000004000000}" name="Memória de Cálculo"/>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DadosDesligamento" displayName="DadosDesligamento" ref="F9:G12" totalsRowShown="0">
  <autoFilter ref="F9:G12" xr:uid="{00000000-0009-0000-0100-000002000000}"/>
  <tableColumns count="2">
    <tableColumn id="1" xr3:uid="{00000000-0010-0000-0100-000001000000}" name="Tipos"/>
    <tableColumn id="2" xr3:uid="{00000000-0010-0000-0100-000002000000}" name="Percentual"/>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4" xr:uid="{00000000-000C-0000-FFFF-FFFF13000000}" name="Table84237" displayName="Table84237" ref="A78:D84" totalsRowShown="0">
  <autoFilter ref="A78:D84" xr:uid="{00000000-0009-0000-0100-00009A000000}"/>
  <tableColumns count="4">
    <tableColumn id="1" xr3:uid="{00000000-0010-0000-1300-000001000000}" name="Item"/>
    <tableColumn id="2" xr3:uid="{00000000-0010-0000-1300-000002000000}" name="Rubrica"/>
    <tableColumn id="3" xr3:uid="{00000000-0010-0000-1300-000003000000}" name="Base de Cálculo"/>
    <tableColumn id="4" xr3:uid="{00000000-0010-0000-1300-000004000000}" name="Memória de Cálculo"/>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5" xr:uid="{00000000-000C-0000-FFFF-FFFF14000000}" name="Table84238" displayName="Table84238" ref="A98:D100" totalsRowShown="0">
  <autoFilter ref="A98:D100" xr:uid="{00000000-0009-0000-0100-00009B000000}"/>
  <tableColumns count="4">
    <tableColumn id="1" xr3:uid="{00000000-0010-0000-1400-000001000000}" name="Item"/>
    <tableColumn id="2" xr3:uid="{00000000-0010-0000-1400-000002000000}" name="Rubrica"/>
    <tableColumn id="3" xr3:uid="{00000000-0010-0000-1400-000003000000}" name="Base de Cálculo"/>
    <tableColumn id="4" xr3:uid="{00000000-0010-0000-1400-000004000000}" name="Memória de Cálculo"/>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6" xr:uid="{00000000-000C-0000-FFFF-FFFF15000000}" name="Table8423851" displayName="Table8423851" ref="A122:D126" totalsRowShown="0">
  <autoFilter ref="A122:D126" xr:uid="{00000000-0009-0000-0100-00009C000000}"/>
  <tableColumns count="4">
    <tableColumn id="1" xr3:uid="{00000000-0010-0000-1500-000001000000}" name="Item"/>
    <tableColumn id="2" xr3:uid="{00000000-0010-0000-1500-000002000000}" name="Rubrica"/>
    <tableColumn id="3" xr3:uid="{00000000-0010-0000-1500-000003000000}" name="Base de Cálculo"/>
    <tableColumn id="4" xr3:uid="{00000000-0010-0000-1500-000004000000}" name="Memória de Cálculo"/>
  </tableColumns>
  <tableStyleInfo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6" xr:uid="{00000000-000C-0000-FFFF-FFFF16000000}" name="Table39" displayName="Table39" ref="A2:G14" totalsRowCount="1">
  <tableColumns count="7">
    <tableColumn id="1" xr3:uid="{00000000-0010-0000-1600-000001000000}" name="Item" totalsRowDxfId="6"/>
    <tableColumn id="2" xr3:uid="{00000000-0010-0000-1600-000002000000}" name="Descrição" totalsRowLabel="TOTAL ANUAL" totalsRowDxfId="5"/>
    <tableColumn id="3" xr3:uid="{00000000-0010-0000-1600-000003000000}" name="Unidade" totalsRowDxfId="4"/>
    <tableColumn id="4" xr3:uid="{00000000-0010-0000-1600-000004000000}" name="Quantidade" totalsRowDxfId="3"/>
    <tableColumn id="5" xr3:uid="{00000000-0010-0000-1600-000005000000}" name="VIGÊNCIA (Mês)" totalsRowDxfId="2"/>
    <tableColumn id="6" xr3:uid="{00000000-0010-0000-1600-000006000000}" name="VALOR UNITÁRIO " totalsRowDxfId="1"/>
    <tableColumn id="7" xr3:uid="{00000000-0010-0000-1600-000007000000}" name="VALOR TOTAL " totalsRowFunction="custom" totalsRowDxfId="0">
      <totalsRowFormula>SUM(G3:G13)</totalsRowFormula>
    </tableColumn>
  </tableColumns>
  <tableStyleInfo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17000000}" name="Módulo153_52109" displayName="Módulo153_52109" ref="A24:D31" totalsRowCount="1">
  <autoFilter ref="A24:D30" xr:uid="{00000000-0009-0000-0100-00000C000000}"/>
  <tableColumns count="4">
    <tableColumn id="1" xr3:uid="{00000000-0010-0000-1700-000001000000}" name="1" totalsRowLabel="Total"/>
    <tableColumn id="2" xr3:uid="{00000000-0010-0000-1700-000002000000}" name="Composição da Remuneração"/>
    <tableColumn id="3" xr3:uid="{00000000-0010-0000-1700-000003000000}" name="Comentário"/>
    <tableColumn id="4" xr3:uid="{00000000-0010-0000-1700-000004000000}" name="Valor" totalsRowFunction="custom">
      <totalsRowFormula>TRUNC((SUM(D25:D30)),2)</totalsRowFormula>
    </tableColumn>
  </tableColumns>
  <tableStyleInfo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8000000}" name="Módulo358_57104" displayName="Módulo358_57104" ref="A76:D83" totalsRowCount="1">
  <autoFilter ref="A76:D82" xr:uid="{00000000-0009-0000-0100-000017000000}"/>
  <tableColumns count="4">
    <tableColumn id="1" xr3:uid="{00000000-0010-0000-1800-000001000000}" name="3" totalsRowLabel="Total"/>
    <tableColumn id="2" xr3:uid="{00000000-0010-0000-1800-000002000000}" name="Provisão para Rescisão"/>
    <tableColumn id="3" xr3:uid="{00000000-0010-0000-1800-000003000000}" name="Percentual" totalsRowFunction="custom">
      <totalsRowFormula>SUM(C77:C82)</totalsRowFormula>
    </tableColumn>
    <tableColumn id="4" xr3:uid="{00000000-0010-0000-1800-000004000000}" name="Valor" totalsRowFunction="custom">
      <totalsRowFormula>TRUNC((SUM(D77:D82)),2)</totalsRowFormula>
    </tableColumn>
  </tableColumns>
  <tableStyleInfo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19000000}" name="Módulo562_58116" displayName="Módulo562_58116" ref="A113:D119" totalsRowCount="1">
  <autoFilter ref="A113:D118" xr:uid="{00000000-0009-0000-0100-000022000000}"/>
  <tableColumns count="4">
    <tableColumn id="1" xr3:uid="{00000000-0010-0000-1900-000001000000}" name="5" totalsRowLabel="Total"/>
    <tableColumn id="2" xr3:uid="{00000000-0010-0000-1900-000002000000}" name="Insumos Diversos"/>
    <tableColumn id="3" xr3:uid="{00000000-0010-0000-1900-000003000000}" name="Comentário"/>
    <tableColumn id="4" xr3:uid="{00000000-0010-0000-1900-000004000000}" name="Valor" totalsRowFunction="custom">
      <totalsRowFormula>TRUNC(SUM(D114:D118),2)</totalsRowFormula>
    </tableColumn>
  </tableColumns>
  <tableStyleInfo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1A000000}" name="Módulo663_59105" displayName="Módulo663_59105" ref="A129:D136" totalsRowCount="1">
  <tableColumns count="4">
    <tableColumn id="1" xr3:uid="{00000000-0010-0000-1A00-000001000000}" name="6" totalsRowLabel="Total" totalsRowDxfId="113"/>
    <tableColumn id="2" xr3:uid="{00000000-0010-0000-1A00-000002000000}" name="Custos Indiretos, Tributos e Lucro" totalsRowDxfId="112"/>
    <tableColumn id="3" xr3:uid="{00000000-0010-0000-1A00-000003000000}" name="Percentual" totalsRowDxfId="111"/>
    <tableColumn id="4" xr3:uid="{00000000-0010-0000-1A00-000004000000}" name="Valor" totalsRowFunction="custom" totalsRowDxfId="110">
      <totalsRowFormula>TRUNC(SUM(D130:D132),2)</totalsRowFormula>
    </tableColumn>
  </tableColumns>
  <tableStyleInfo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6" xr:uid="{00000000-000C-0000-FFFF-FFFF1B000000}" name="ResumoMódulo257_60113" displayName="ResumoMódulo257_60113" ref="A69:D73" totalsRowCount="1">
  <autoFilter ref="A69:D72" xr:uid="{00000000-0009-0000-0100-000038000000}"/>
  <tableColumns count="4">
    <tableColumn id="1" xr3:uid="{00000000-0010-0000-1B00-000001000000}" name="2" totalsRowLabel="Total"/>
    <tableColumn id="2" xr3:uid="{00000000-0010-0000-1B00-000002000000}" name="Encargos e Benefícios Anuais, Mensais e Diários"/>
    <tableColumn id="3" xr3:uid="{00000000-0010-0000-1B00-000003000000}" name="Comentário"/>
    <tableColumn id="4" xr3:uid="{00000000-0010-0000-1B00-000004000000}" name="Valor" totalsRowFunction="custom">
      <totalsRowFormula>TRUNC((SUM(D70:D72)),2)</totalsRowFormula>
    </tableColumn>
  </tableColumns>
  <tableStyleInfo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7" xr:uid="{00000000-000C-0000-FFFF-FFFF1C000000}" name="ResumoMódulo461_62115" displayName="ResumoMódulo461_62115" ref="A107:D110" totalsRowCount="1">
  <autoFilter ref="A107:D109" xr:uid="{00000000-0009-0000-0100-000043000000}"/>
  <tableColumns count="4">
    <tableColumn id="1" xr3:uid="{00000000-0010-0000-1C00-000001000000}" name="4" totalsRowLabel="Total"/>
    <tableColumn id="2" xr3:uid="{00000000-0010-0000-1C00-000002000000}" name="Custo de Reposição do Profissional Ausente"/>
    <tableColumn id="3" xr3:uid="{00000000-0010-0000-1C00-000003000000}" name="Comentário" totalsRowLabel="*Nota: Se o titular USUFRUIR do descanso intrajornada, o total é o somatório dos subitens 4.1 e 4.2"/>
    <tableColumn id="4" xr3:uid="{00000000-0010-0000-1C00-000004000000}" name="Valor" totalsRowFunction="custom">
      <totalsRowFormula>TRUNC((SUM(D108:D109)),2)</totalsRow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DadosGerais" displayName="DadosGerais" ref="F2:G6" totalsRowShown="0">
  <autoFilter ref="F2:G6" xr:uid="{00000000-0009-0000-0100-000003000000}"/>
  <tableColumns count="2">
    <tableColumn id="1" xr3:uid="{00000000-0010-0000-0200-000001000000}" name="Descrição"/>
    <tableColumn id="2" xr3:uid="{00000000-0010-0000-0200-000002000000}" name="Valor"/>
  </tableColumns>
  <tableStyleInfo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8" xr:uid="{00000000-000C-0000-FFFF-FFFF1D000000}" name="ResumoPosto64_64108" displayName="ResumoPosto64_64108" ref="A140:D148" totalsRowShown="0">
  <autoFilter ref="A140:D148" xr:uid="{00000000-0009-0000-0100-00004E000000}"/>
  <tableColumns count="4">
    <tableColumn id="1" xr3:uid="{00000000-0010-0000-1D00-000001000000}" name="Item"/>
    <tableColumn id="2" xr3:uid="{00000000-0010-0000-1D00-000002000000}" name="Mão de obra vinculada à execução contratual"/>
    <tableColumn id="3" xr3:uid="{00000000-0010-0000-1D00-000003000000}" name="-"/>
    <tableColumn id="4" xr3:uid="{00000000-0010-0000-1D00-000004000000}" name="Valor"/>
  </tableColumns>
  <tableStyleInfo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9" xr:uid="{00000000-000C-0000-FFFF-FFFF1E000000}" name="Submódulo2.154_61111" displayName="Submódulo2.154_61111" ref="A36:D39" totalsRowCount="1">
  <autoFilter ref="A36:D38" xr:uid="{00000000-0009-0000-0100-000059000000}"/>
  <tableColumns count="4">
    <tableColumn id="1" xr3:uid="{00000000-0010-0000-1E00-000001000000}" name="2.1" totalsRowLabel="Total"/>
    <tableColumn id="2" xr3:uid="{00000000-0010-0000-1E00-000002000000}" name="13º (décimo terceiro) Salário, Férias e Adicional de Férias"/>
    <tableColumn id="3" xr3:uid="{00000000-0010-0000-1E00-000003000000}" name="Percentual"/>
    <tableColumn id="4" xr3:uid="{00000000-0010-0000-1E00-000004000000}" name="Valor" totalsRowFunction="custom">
      <totalsRowFormula>TRUNC((SUM(D37:D38)),2)</totalsRowFormula>
    </tableColumn>
  </tableColumns>
  <tableStyleInfo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0" xr:uid="{00000000-000C-0000-FFFF-FFFF1F000000}" name="Submódulo2.255_63114" displayName="Submódulo2.255_63114" ref="A46:D55" totalsRowCount="1">
  <autoFilter ref="A46:D54" xr:uid="{00000000-0009-0000-0100-000064000000}"/>
  <tableColumns count="4">
    <tableColumn id="1" xr3:uid="{00000000-0010-0000-1F00-000001000000}" name="2.2" totalsRowLabel="Total" totalsRowDxfId="109"/>
    <tableColumn id="2" xr3:uid="{00000000-0010-0000-1F00-000002000000}" name="GPS, FGTS e outras contribuições"/>
    <tableColumn id="3" xr3:uid="{00000000-0010-0000-1F00-000003000000}" name="Percentual" totalsRowFunction="custom" totalsRowDxfId="108">
      <totalsRowFormula>SUM(C47:C54)</totalsRowFormula>
    </tableColumn>
    <tableColumn id="4" xr3:uid="{00000000-0010-0000-1F00-000004000000}" name="Valor " totalsRowFunction="custom" totalsRowDxfId="107">
      <totalsRowFormula>TRUNC(SUM(D47:D54),2)</totalsRowFormula>
    </tableColumn>
  </tableColumns>
  <tableStyleInfo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1" xr:uid="{00000000-000C-0000-FFFF-FFFF20000000}" name="Submódulo2.356_53112" displayName="Submódulo2.356_53112" ref="A58:D66" totalsRowCount="1">
  <autoFilter ref="A58:D65" xr:uid="{00000000-0009-0000-0100-00006F000000}"/>
  <tableColumns count="4">
    <tableColumn id="1" xr3:uid="{00000000-0010-0000-2000-000001000000}" name="2.3" totalsRowLabel="Total" totalsRowDxfId="106"/>
    <tableColumn id="2" xr3:uid="{00000000-0010-0000-2000-000002000000}" name="Benefícios Mensais e Diários"/>
    <tableColumn id="3" xr3:uid="{00000000-0010-0000-2000-000003000000}" name="Comentário"/>
    <tableColumn id="4" xr3:uid="{00000000-0010-0000-2000-000004000000}" name="Valor" totalsRowFunction="custom" totalsRowDxfId="105">
      <totalsRowFormula>TRUNC((SUM(D59:D65)),2)</totalsRowFormula>
    </tableColumn>
  </tableColumns>
  <tableStyleInfo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2" xr:uid="{00000000-000C-0000-FFFF-FFFF21000000}" name="Submódulo4.159_54110" displayName="Submódulo4.159_54110" ref="A92:D99" totalsRowCount="1">
  <autoFilter ref="A92:D98" xr:uid="{00000000-0009-0000-0100-00007A000000}"/>
  <tableColumns count="4">
    <tableColumn id="1" xr3:uid="{00000000-0010-0000-2100-000001000000}" name="4.1" totalsRowLabel="Total"/>
    <tableColumn id="2" xr3:uid="{00000000-0010-0000-2100-000002000000}" name="Substituto nas Ausências Legais"/>
    <tableColumn id="3" xr3:uid="{00000000-0010-0000-2100-000003000000}" name="Percentual" totalsRowFunction="sum"/>
    <tableColumn id="4" xr3:uid="{00000000-0010-0000-2100-000004000000}" name="Valor" totalsRowFunction="custom">
      <totalsRowFormula>TRUNC((SUM(D93:D98)),2)</totalsRowFormula>
    </tableColumn>
  </tableColumns>
  <tableStyleInfo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3" xr:uid="{00000000-000C-0000-FFFF-FFFF22000000}" name="Submódulo4.260_55107" displayName="Submódulo4.260_55107" ref="A102:D104" totalsRowCount="1">
  <autoFilter ref="A102:D103" xr:uid="{00000000-0009-0000-0100-000085000000}"/>
  <tableColumns count="4">
    <tableColumn id="1" xr3:uid="{00000000-0010-0000-2200-000001000000}" name="4.2" totalsRowLabel="Total"/>
    <tableColumn id="2" xr3:uid="{00000000-0010-0000-2200-000002000000}" name="Substituto na Intrajornada "/>
    <tableColumn id="3" xr3:uid="{00000000-0010-0000-2200-000003000000}" name="Comentário"/>
    <tableColumn id="4" xr3:uid="{00000000-0010-0000-2200-000004000000}" name="Valor" totalsRowFunction="custom">
      <totalsRowFormula>D103</totalsRowFormula>
    </tableColumn>
  </tableColumns>
  <tableStyleInfo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8" xr:uid="{00000000-000C-0000-FFFF-FFFF23000000}" name="Table452_56106" displayName="Table452_56106" ref="A16:D21" totalsRowShown="0">
  <tableColumns count="4">
    <tableColumn id="1" xr3:uid="{00000000-0010-0000-2300-000001000000}" name="Item"/>
    <tableColumn id="2" xr3:uid="{00000000-0010-0000-2300-000002000000}" name="Descrição"/>
    <tableColumn id="3" xr3:uid="{00000000-0010-0000-2300-000003000000}" name="Comentário"/>
    <tableColumn id="4" xr3:uid="{00000000-0010-0000-2300-000004000000}" name="Valor"/>
  </tableColumns>
  <tableStyleInfo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24000000}" name="Módulo153_39" displayName="Módulo153_39" ref="A24:D31" totalsRowCount="1">
  <autoFilter ref="A24:D30" xr:uid="{00000000-0009-0000-0100-00000A000000}"/>
  <tableColumns count="4">
    <tableColumn id="1" xr3:uid="{00000000-0010-0000-2400-000001000000}" name="1" totalsRowLabel="Total" totalsRowDxfId="104"/>
    <tableColumn id="2" xr3:uid="{00000000-0010-0000-2400-000002000000}" name="Composição da Remuneração"/>
    <tableColumn id="3" xr3:uid="{00000000-0010-0000-2400-000003000000}" name="Comentário" totalsRowDxfId="103"/>
    <tableColumn id="4" xr3:uid="{00000000-0010-0000-2400-000004000000}" name="Valor" totalsRowFunction="custom" totalsRowDxfId="102">
      <totalsRowFormula>TRUNC(SUM(D25:D30),2)</totalsRowFormula>
    </tableColumn>
  </tableColumns>
  <tableStyleInfo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25000000}" name="Módulo358_44" displayName="Módulo358_44" ref="A76:D83" totalsRowCount="1">
  <autoFilter ref="A76:D82" xr:uid="{00000000-0009-0000-0100-000015000000}"/>
  <tableColumns count="4">
    <tableColumn id="1" xr3:uid="{00000000-0010-0000-2500-000001000000}" name="3" totalsRowLabel="Total"/>
    <tableColumn id="2" xr3:uid="{00000000-0010-0000-2500-000002000000}" name="Provisão para Rescisão"/>
    <tableColumn id="3" xr3:uid="{00000000-0010-0000-2500-000003000000}" name="Percentual" totalsRowFunction="custom">
      <totalsRowFormula>SUM(C77:C82)</totalsRowFormula>
    </tableColumn>
    <tableColumn id="4" xr3:uid="{00000000-0010-0000-2500-000004000000}" name="Valor" totalsRowFunction="custom">
      <totalsRowFormula>TRUNC((SUM(D77:D82)),2)</totalsRowFormula>
    </tableColumn>
  </tableColumns>
  <tableStyleInfo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26000000}" name="Módulo562_45" displayName="Módulo562_45" ref="A113:D119" totalsRowCount="1">
  <autoFilter ref="A113:D118" xr:uid="{00000000-0009-0000-0100-000020000000}"/>
  <tableColumns count="4">
    <tableColumn id="1" xr3:uid="{00000000-0010-0000-2600-000001000000}" name="5" totalsRowLabel="Total"/>
    <tableColumn id="2" xr3:uid="{00000000-0010-0000-2600-000002000000}" name="Insumos Diversos"/>
    <tableColumn id="3" xr3:uid="{00000000-0010-0000-2600-000003000000}" name="Comentário"/>
    <tableColumn id="4" xr3:uid="{00000000-0010-0000-2600-000004000000}" name="Valor" totalsRowFunction="custom">
      <totalsRowFormula>TRUNC(SUM(D114:D118),2)</totalsRow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Módulo1" displayName="Módulo1" ref="A10:D17" totalsRowShown="0">
  <tableColumns count="4">
    <tableColumn id="1" xr3:uid="{00000000-0010-0000-0300-000001000000}" name="1"/>
    <tableColumn id="2" xr3:uid="{00000000-0010-0000-0300-000002000000}" name="Composição da Remuneração"/>
    <tableColumn id="3" xr3:uid="{00000000-0010-0000-0300-000003000000}" name="Comentário"/>
    <tableColumn id="4" xr3:uid="{00000000-0010-0000-0300-000004000000}" name="Valor"/>
  </tableColumns>
  <tableStyleInfo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7000000}" name="Módulo663_46" displayName="Módulo663_46" ref="A129:D136" totalsRowCount="1">
  <tableColumns count="4">
    <tableColumn id="1" xr3:uid="{00000000-0010-0000-2700-000001000000}" name="6" totalsRowLabel="Total" totalsRowDxfId="101"/>
    <tableColumn id="2" xr3:uid="{00000000-0010-0000-2700-000002000000}" name="Custos Indiretos, Tributos e Lucro"/>
    <tableColumn id="3" xr3:uid="{00000000-0010-0000-2700-000003000000}" name="Percentual" totalsRowDxfId="100"/>
    <tableColumn id="4" xr3:uid="{00000000-0010-0000-2700-000004000000}" name="Valor" totalsRowFunction="custom" totalsRowDxfId="99">
      <totalsRowFormula>TRUNC(SUM(D130:D132),2)</totalsRowFormula>
    </tableColumn>
  </tableColumns>
  <tableStyleInfo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00000000-000C-0000-FFFF-FFFF28000000}" name="ResumoMódulo257_47" displayName="ResumoMódulo257_47" ref="A69:D73" totalsRowCount="1">
  <autoFilter ref="A69:D72" xr:uid="{00000000-0009-0000-0100-000036000000}"/>
  <tableColumns count="4">
    <tableColumn id="1" xr3:uid="{00000000-0010-0000-2800-000001000000}" name="2" totalsRowLabel="Total"/>
    <tableColumn id="2" xr3:uid="{00000000-0010-0000-2800-000002000000}" name="Encargos e Benefícios Anuais, Mensais e Diários"/>
    <tableColumn id="3" xr3:uid="{00000000-0010-0000-2800-000003000000}" name="Comentário"/>
    <tableColumn id="4" xr3:uid="{00000000-0010-0000-2800-000004000000}" name="Valor" totalsRowFunction="custom">
      <totalsRowFormula>TRUNC((SUM(D70:D72)),2)</totalsRowFormula>
    </tableColumn>
  </tableColumns>
  <tableStyleInfo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5" xr:uid="{00000000-000C-0000-FFFF-FFFF29000000}" name="ResumoMódulo461_49" displayName="ResumoMódulo461_49" ref="A107:D110" totalsRowCount="1">
  <autoFilter ref="A107:D109" xr:uid="{00000000-0009-0000-0100-000041000000}"/>
  <tableColumns count="4">
    <tableColumn id="1" xr3:uid="{00000000-0010-0000-2900-000001000000}" name="4" totalsRowLabel="Total"/>
    <tableColumn id="2" xr3:uid="{00000000-0010-0000-2900-000002000000}" name="Custo de Reposição do Profissional Ausente"/>
    <tableColumn id="3" xr3:uid="{00000000-0010-0000-2900-000003000000}" name="Comentário" totalsRowLabel="*Nota: Se o titular USUFRUIR do descanso intrajornada, o total é o somatório dos subitens 4.1 e 4.2"/>
    <tableColumn id="4" xr3:uid="{00000000-0010-0000-2900-000004000000}" name="Valor" totalsRowFunction="custom">
      <totalsRowFormula>TRUNC((SUM(D108:D109)),2)</totalsRowFormula>
    </tableColumn>
  </tableColumns>
  <tableStyleInfo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6" xr:uid="{00000000-000C-0000-FFFF-FFFF2A000000}" name="ResumoPosto64_51" displayName="ResumoPosto64_51" ref="A140:D148" totalsRowShown="0">
  <autoFilter ref="A140:D148" xr:uid="{00000000-0009-0000-0100-00004C000000}"/>
  <tableColumns count="4">
    <tableColumn id="1" xr3:uid="{00000000-0010-0000-2A00-000001000000}" name="Item"/>
    <tableColumn id="2" xr3:uid="{00000000-0010-0000-2A00-000002000000}" name="Mão de obra vinculada à execução contratual"/>
    <tableColumn id="3" xr3:uid="{00000000-0010-0000-2A00-000003000000}" name="-"/>
    <tableColumn id="4" xr3:uid="{00000000-0010-0000-2A00-000004000000}" name="Valor"/>
  </tableColumns>
  <tableStyleInfo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7" xr:uid="{00000000-000C-0000-FFFF-FFFF2B000000}" name="Submódulo2.154_48" displayName="Submódulo2.154_48" ref="A36:D39" totalsRowCount="1">
  <autoFilter ref="A36:D38" xr:uid="{00000000-0009-0000-0100-000057000000}"/>
  <tableColumns count="4">
    <tableColumn id="1" xr3:uid="{00000000-0010-0000-2B00-000001000000}" name="2.1" totalsRowLabel="Total"/>
    <tableColumn id="2" xr3:uid="{00000000-0010-0000-2B00-000002000000}" name="13º (décimo terceiro) Salário, Férias e Adicional de Férias"/>
    <tableColumn id="3" xr3:uid="{00000000-0010-0000-2B00-000003000000}" name="Percentual"/>
    <tableColumn id="4" xr3:uid="{00000000-0010-0000-2B00-000004000000}" name="Valor" totalsRowFunction="custom">
      <totalsRowFormula>TRUNC((SUM(D37:D38)),2)</totalsRowFormula>
    </tableColumn>
  </tableColumns>
  <tableStyleInfo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8" xr:uid="{00000000-000C-0000-FFFF-FFFF2C000000}" name="Submódulo2.255_50" displayName="Submódulo2.255_50" ref="A46:D55" totalsRowCount="1">
  <autoFilter ref="A46:D54" xr:uid="{00000000-0009-0000-0100-000062000000}"/>
  <tableColumns count="4">
    <tableColumn id="1" xr3:uid="{00000000-0010-0000-2C00-000001000000}" name="2.2" totalsRowLabel="Total" totalsRowDxfId="98"/>
    <tableColumn id="2" xr3:uid="{00000000-0010-0000-2C00-000002000000}" name="GPS, FGTS e outras contribuições"/>
    <tableColumn id="3" xr3:uid="{00000000-0010-0000-2C00-000003000000}" name="Percentual" totalsRowFunction="custom" totalsRowDxfId="97">
      <totalsRowFormula>SUM(C47:C54)</totalsRowFormula>
    </tableColumn>
    <tableColumn id="4" xr3:uid="{00000000-0010-0000-2C00-000004000000}" name="Valor " totalsRowFunction="custom" totalsRowDxfId="96">
      <totalsRowFormula>TRUNC((SUM(D47:D54)),2)</totalsRowFormula>
    </tableColumn>
  </tableColumns>
  <tableStyleInfo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9" xr:uid="{00000000-000C-0000-FFFF-FFFF2D000000}" name="Submódulo2.356_40" displayName="Submódulo2.356_40" ref="A58:D66" totalsRowCount="1">
  <autoFilter ref="A58:D65" xr:uid="{00000000-0009-0000-0100-00006D000000}"/>
  <tableColumns count="4">
    <tableColumn id="1" xr3:uid="{00000000-0010-0000-2D00-000001000000}" name="2.3" totalsRowLabel="Total" totalsRowDxfId="95"/>
    <tableColumn id="2" xr3:uid="{00000000-0010-0000-2D00-000002000000}" name="Benefícios Mensais e Diários"/>
    <tableColumn id="3" xr3:uid="{00000000-0010-0000-2D00-000003000000}" name="Comentário"/>
    <tableColumn id="4" xr3:uid="{00000000-0010-0000-2D00-000004000000}" name="Valor" totalsRowFunction="custom" totalsRowDxfId="94">
      <totalsRowFormula>TRUNC((SUM(D59:D65)),2)</totalsRowFormula>
    </tableColumn>
  </tableColumns>
  <tableStyleInfo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0" xr:uid="{00000000-000C-0000-FFFF-FFFF2E000000}" name="Submódulo4.159_41" displayName="Submódulo4.159_41" ref="A92:D99" totalsRowCount="1">
  <autoFilter ref="A92:D98" xr:uid="{00000000-0009-0000-0100-000078000000}"/>
  <tableColumns count="4">
    <tableColumn id="1" xr3:uid="{00000000-0010-0000-2E00-000001000000}" name="4.1" totalsRowLabel="Total"/>
    <tableColumn id="2" xr3:uid="{00000000-0010-0000-2E00-000002000000}" name="Substituto nas Ausências Legais"/>
    <tableColumn id="3" xr3:uid="{00000000-0010-0000-2E00-000003000000}" name="Percentual" totalsRowFunction="sum"/>
    <tableColumn id="4" xr3:uid="{00000000-0010-0000-2E00-000004000000}" name="Valor" totalsRowFunction="custom">
      <totalsRowFormula>TRUNC((SUM(D93:D98)),2)</totalsRowFormula>
    </tableColumn>
  </tableColumns>
  <tableStyleInfo showFirstColumn="0" showLastColumn="0" showRowStripes="1" showColumnStripes="0"/>
</table>
</file>

<file path=xl/tables/table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1" xr:uid="{00000000-000C-0000-FFFF-FFFF2F000000}" name="Submódulo4.260_42" displayName="Submódulo4.260_42" ref="A102:D104" totalsRowCount="1">
  <autoFilter ref="A102:D103" xr:uid="{00000000-0009-0000-0100-000083000000}"/>
  <tableColumns count="4">
    <tableColumn id="1" xr3:uid="{00000000-0010-0000-2F00-000001000000}" name="4.2" totalsRowLabel="Total"/>
    <tableColumn id="2" xr3:uid="{00000000-0010-0000-2F00-000002000000}" name="Substituto na Intrajornada "/>
    <tableColumn id="3" xr3:uid="{00000000-0010-0000-2F00-000003000000}" name="Comentário"/>
    <tableColumn id="4" xr3:uid="{00000000-0010-0000-2F00-000004000000}" name="Valor" totalsRowFunction="custom">
      <totalsRowFormula>D103</totalsRowFormula>
    </tableColumn>
  </tableColumns>
  <tableStyleInfo showFirstColumn="0" showLastColumn="0" showRowStripes="1" showColumnStripes="0"/>
</table>
</file>

<file path=xl/tables/table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6" xr:uid="{00000000-000C-0000-FFFF-FFFF30000000}" name="Table452_43" displayName="Table452_43" ref="A16:D21" totalsRowShown="0">
  <tableColumns count="4">
    <tableColumn id="1" xr3:uid="{00000000-0010-0000-3000-000001000000}" name="Item"/>
    <tableColumn id="2" xr3:uid="{00000000-0010-0000-3000-000002000000}" name="Descrição"/>
    <tableColumn id="3" xr3:uid="{00000000-0010-0000-3000-000003000000}" name="Comentário"/>
    <tableColumn id="4" xr3:uid="{00000000-0010-0000-3000-000004000000}" name="Valor"/>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4000000}" name="Módulo3" displayName="Módulo3" ref="A68:D75" totalsRowShown="0">
  <tableColumns count="4">
    <tableColumn id="1" xr3:uid="{00000000-0010-0000-0400-000001000000}" name="3"/>
    <tableColumn id="2" xr3:uid="{00000000-0010-0000-0400-000002000000}" name="Provisão para Rescisão"/>
    <tableColumn id="3" xr3:uid="{00000000-0010-0000-0400-000003000000}" name="Comentário"/>
    <tableColumn id="4" xr3:uid="{00000000-0010-0000-0400-000004000000}" name="Valor"/>
  </tableColumns>
  <tableStyleInfo showFirstColumn="0" showLastColumn="0" showRowStripes="1" showColumnStripes="0"/>
</table>
</file>

<file path=xl/tables/table5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31000000}" name="Módulo153_52" displayName="Módulo153_52" ref="A24:D31" totalsRowCount="1">
  <autoFilter ref="A24:D30" xr:uid="{00000000-0009-0000-0100-00000B000000}"/>
  <tableColumns count="4">
    <tableColumn id="1" xr3:uid="{00000000-0010-0000-3100-000001000000}" name="1" totalsRowLabel="Total"/>
    <tableColumn id="2" xr3:uid="{00000000-0010-0000-3100-000002000000}" name="Composição da Remuneração"/>
    <tableColumn id="3" xr3:uid="{00000000-0010-0000-3100-000003000000}" name="Comentário"/>
    <tableColumn id="4" xr3:uid="{00000000-0010-0000-3100-000004000000}" name="Valor" totalsRowFunction="custom">
      <totalsRowFormula>TRUNC((SUM(D25:D30)),2)</totalsRowFormula>
    </tableColumn>
  </tableColumns>
  <tableStyleInfo showFirstColumn="0" showLastColumn="0" showRowStripes="1" showColumnStripes="0"/>
</table>
</file>

<file path=xl/tables/table5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32000000}" name="Módulo358_57" displayName="Módulo358_57" ref="A76:D83" totalsRowCount="1">
  <autoFilter ref="A76:D82" xr:uid="{00000000-0009-0000-0100-000016000000}"/>
  <tableColumns count="4">
    <tableColumn id="1" xr3:uid="{00000000-0010-0000-3200-000001000000}" name="3" totalsRowLabel="Total"/>
    <tableColumn id="2" xr3:uid="{00000000-0010-0000-3200-000002000000}" name="Provisão para Rescisão"/>
    <tableColumn id="3" xr3:uid="{00000000-0010-0000-3200-000003000000}" name="Percentual" totalsRowFunction="custom">
      <totalsRowFormula>SUM(C77:C82)</totalsRowFormula>
    </tableColumn>
    <tableColumn id="4" xr3:uid="{00000000-0010-0000-3200-000004000000}" name="Valor" totalsRowFunction="custom">
      <totalsRowFormula>TRUNC((SUM(D77:D82)),2)</totalsRowFormula>
    </tableColumn>
  </tableColumns>
  <tableStyleInfo showFirstColumn="0" showLastColumn="0" showRowStripes="1" showColumnStripes="0"/>
</table>
</file>

<file path=xl/tables/table5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33000000}" name="Módulo562_58" displayName="Módulo562_58" ref="A113:D119" totalsRowCount="1">
  <autoFilter ref="A113:D118" xr:uid="{00000000-0009-0000-0100-000021000000}"/>
  <tableColumns count="4">
    <tableColumn id="1" xr3:uid="{00000000-0010-0000-3300-000001000000}" name="5" totalsRowLabel="Total"/>
    <tableColumn id="2" xr3:uid="{00000000-0010-0000-3300-000002000000}" name="Insumos Diversos"/>
    <tableColumn id="3" xr3:uid="{00000000-0010-0000-3300-000003000000}" name="Comentário"/>
    <tableColumn id="4" xr3:uid="{00000000-0010-0000-3300-000004000000}" name="Valor" totalsRowFunction="custom">
      <totalsRowFormula>TRUNC(SUM(D114:D118),2)</totalsRowFormula>
    </tableColumn>
  </tableColumns>
  <tableStyleInfo showFirstColumn="0" showLastColumn="0" showRowStripes="1" showColumnStripes="0"/>
</table>
</file>

<file path=xl/tables/table5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34000000}" name="Módulo663_59" displayName="Módulo663_59" ref="A129:D136" totalsRowCount="1">
  <tableColumns count="4">
    <tableColumn id="1" xr3:uid="{00000000-0010-0000-3400-000001000000}" name="6" totalsRowLabel="Total" totalsRowDxfId="93"/>
    <tableColumn id="2" xr3:uid="{00000000-0010-0000-3400-000002000000}" name="Custos Indiretos, Tributos e Lucro"/>
    <tableColumn id="3" xr3:uid="{00000000-0010-0000-3400-000003000000}" name="Percentual" totalsRowDxfId="92"/>
    <tableColumn id="4" xr3:uid="{00000000-0010-0000-3400-000004000000}" name="Valor" totalsRowFunction="custom" totalsRowDxfId="91">
      <totalsRowFormula>TRUNC(SUM(D130:D132),2)</totalsRowFormula>
    </tableColumn>
  </tableColumns>
  <tableStyleInfo showFirstColumn="0" showLastColumn="0" showRowStripes="1" showColumnStripes="0"/>
</table>
</file>

<file path=xl/tables/table5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5" xr:uid="{00000000-000C-0000-FFFF-FFFF35000000}" name="ResumoMódulo257_60" displayName="ResumoMódulo257_60" ref="A69:D73" totalsRowCount="1">
  <autoFilter ref="A69:D72" xr:uid="{00000000-0009-0000-0100-000037000000}"/>
  <tableColumns count="4">
    <tableColumn id="1" xr3:uid="{00000000-0010-0000-3500-000001000000}" name="2" totalsRowLabel="Total"/>
    <tableColumn id="2" xr3:uid="{00000000-0010-0000-3500-000002000000}" name="Encargos e Benefícios Anuais, Mensais e Diários"/>
    <tableColumn id="3" xr3:uid="{00000000-0010-0000-3500-000003000000}" name="Comentário"/>
    <tableColumn id="4" xr3:uid="{00000000-0010-0000-3500-000004000000}" name="Valor" totalsRowFunction="custom">
      <totalsRowFormula>TRUNC((SUM(D70:D72)),2)</totalsRowFormula>
    </tableColumn>
  </tableColumns>
  <tableStyleInfo showFirstColumn="0" showLastColumn="0" showRowStripes="1" showColumnStripes="0"/>
</table>
</file>

<file path=xl/tables/table5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6" xr:uid="{00000000-000C-0000-FFFF-FFFF36000000}" name="ResumoMódulo461_62" displayName="ResumoMódulo461_62" ref="A107:D110" totalsRowCount="1">
  <autoFilter ref="A107:D109" xr:uid="{00000000-0009-0000-0100-000042000000}"/>
  <tableColumns count="4">
    <tableColumn id="1" xr3:uid="{00000000-0010-0000-3600-000001000000}" name="4" totalsRowLabel="Total"/>
    <tableColumn id="2" xr3:uid="{00000000-0010-0000-3600-000002000000}" name="Custo de Reposição do Profissional Ausente"/>
    <tableColumn id="3" xr3:uid="{00000000-0010-0000-3600-000003000000}" name="Comentário" totalsRowLabel="*Nota: Se o titular USUFRUIR do descanso intrajornada, o total é o somatório dos subitens 4.1 e 4.2"/>
    <tableColumn id="4" xr3:uid="{00000000-0010-0000-3600-000004000000}" name="Valor" totalsRowFunction="custom">
      <totalsRowFormula>TRUNC((SUM(D108:D109)),2)</totalsRowFormula>
    </tableColumn>
  </tableColumns>
  <tableStyleInfo showFirstColumn="0" showLastColumn="0" showRowStripes="1" showColumnStripes="0"/>
</table>
</file>

<file path=xl/tables/table5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7" xr:uid="{00000000-000C-0000-FFFF-FFFF37000000}" name="ResumoPosto64_64" displayName="ResumoPosto64_64" ref="A140:D148" totalsRowShown="0">
  <autoFilter ref="A140:D148" xr:uid="{00000000-0009-0000-0100-00004D000000}"/>
  <tableColumns count="4">
    <tableColumn id="1" xr3:uid="{00000000-0010-0000-3700-000001000000}" name="Item"/>
    <tableColumn id="2" xr3:uid="{00000000-0010-0000-3700-000002000000}" name="Mão de obra vinculada à execução contratual"/>
    <tableColumn id="3" xr3:uid="{00000000-0010-0000-3700-000003000000}" name="-"/>
    <tableColumn id="4" xr3:uid="{00000000-0010-0000-3700-000004000000}" name="Valor"/>
  </tableColumns>
  <tableStyleInfo showFirstColumn="0" showLastColumn="0" showRowStripes="1" showColumnStripes="0"/>
</table>
</file>

<file path=xl/tables/table5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8" xr:uid="{00000000-000C-0000-FFFF-FFFF38000000}" name="Submódulo2.154_61" displayName="Submódulo2.154_61" ref="A36:D39" totalsRowCount="1">
  <autoFilter ref="A36:D38" xr:uid="{00000000-0009-0000-0100-000058000000}"/>
  <tableColumns count="4">
    <tableColumn id="1" xr3:uid="{00000000-0010-0000-3800-000001000000}" name="2.1" totalsRowLabel="Total"/>
    <tableColumn id="2" xr3:uid="{00000000-0010-0000-3800-000002000000}" name="13º (décimo terceiro) Salário, Férias e Adicional de Férias"/>
    <tableColumn id="3" xr3:uid="{00000000-0010-0000-3800-000003000000}" name="Percentual"/>
    <tableColumn id="4" xr3:uid="{00000000-0010-0000-3800-000004000000}" name="Valor" totalsRowFunction="custom">
      <totalsRowFormula>TRUNC((SUM(D37:D38)),2)</totalsRowFormula>
    </tableColumn>
  </tableColumns>
  <tableStyleInfo showFirstColumn="0" showLastColumn="0" showRowStripes="1" showColumnStripes="0"/>
</table>
</file>

<file path=xl/tables/table5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9" xr:uid="{00000000-000C-0000-FFFF-FFFF39000000}" name="Submódulo2.255_63" displayName="Submódulo2.255_63" ref="A46:D55" totalsRowCount="1">
  <autoFilter ref="A46:D54" xr:uid="{00000000-0009-0000-0100-000063000000}"/>
  <tableColumns count="4">
    <tableColumn id="1" xr3:uid="{00000000-0010-0000-3900-000001000000}" name="2.2" totalsRowLabel="Total" totalsRowDxfId="90"/>
    <tableColumn id="2" xr3:uid="{00000000-0010-0000-3900-000002000000}" name="GPS, FGTS e outras contribuições"/>
    <tableColumn id="3" xr3:uid="{00000000-0010-0000-3900-000003000000}" name="Percentual" totalsRowFunction="custom" totalsRowDxfId="89">
      <totalsRowFormula>SUM(C47:C54)</totalsRowFormula>
    </tableColumn>
    <tableColumn id="4" xr3:uid="{00000000-0010-0000-3900-000004000000}" name="Valor " totalsRowFunction="custom" totalsRowDxfId="88">
      <totalsRowFormula>TRUNC((SUM(D47:D54)),2)</totalsRowFormula>
    </tableColumn>
  </tableColumns>
  <tableStyleInfo showFirstColumn="0" showLastColumn="0" showRowStripes="1" showColumnStripes="0"/>
</table>
</file>

<file path=xl/tables/table5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0" xr:uid="{00000000-000C-0000-FFFF-FFFF3A000000}" name="Submódulo2.356_53" displayName="Submódulo2.356_53" ref="A58:D66" totalsRowCount="1">
  <autoFilter ref="A58:D65" xr:uid="{00000000-0009-0000-0100-00006E000000}"/>
  <tableColumns count="4">
    <tableColumn id="1" xr3:uid="{00000000-0010-0000-3A00-000001000000}" name="2.3" totalsRowLabel="Total" totalsRowDxfId="87"/>
    <tableColumn id="2" xr3:uid="{00000000-0010-0000-3A00-000002000000}" name="Benefícios Mensais e Diários"/>
    <tableColumn id="3" xr3:uid="{00000000-0010-0000-3A00-000003000000}" name="Comentário"/>
    <tableColumn id="4" xr3:uid="{00000000-0010-0000-3A00-000004000000}" name="Valor" totalsRowFunction="custom" totalsRowDxfId="86">
      <totalsRowFormula>TRUNC((SUM(D59:D65)),2)</totalsRow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05000000}" name="Módulo5" displayName="Módulo5" ref="A114:D119" totalsRowShown="0">
  <tableColumns count="4">
    <tableColumn id="1" xr3:uid="{00000000-0010-0000-0500-000001000000}" name="5"/>
    <tableColumn id="2" xr3:uid="{00000000-0010-0000-0500-000002000000}" name="Insumos Diversos"/>
    <tableColumn id="3" xr3:uid="{00000000-0010-0000-0500-000003000000}" name="Comentário"/>
    <tableColumn id="4" xr3:uid="{00000000-0010-0000-0500-000004000000}" name="Valor"/>
  </tableColumns>
  <tableStyleInfo showFirstColumn="0" showLastColumn="0" showRowStripes="1" showColumnStripes="0"/>
</table>
</file>

<file path=xl/tables/table6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1" xr:uid="{00000000-000C-0000-FFFF-FFFF3B000000}" name="Submódulo4.159_54" displayName="Submódulo4.159_54" ref="A92:D99" totalsRowCount="1">
  <autoFilter ref="A92:D98" xr:uid="{00000000-0009-0000-0100-000079000000}"/>
  <tableColumns count="4">
    <tableColumn id="1" xr3:uid="{00000000-0010-0000-3B00-000001000000}" name="4.1" totalsRowLabel="Total"/>
    <tableColumn id="2" xr3:uid="{00000000-0010-0000-3B00-000002000000}" name="Substituto nas Ausências Legais"/>
    <tableColumn id="3" xr3:uid="{00000000-0010-0000-3B00-000003000000}" name="Percentual" totalsRowFunction="sum"/>
    <tableColumn id="4" xr3:uid="{00000000-0010-0000-3B00-000004000000}" name="Valor" totalsRowFunction="custom">
      <totalsRowFormula>TRUNC((SUM(D93:D98)),2)</totalsRowFormula>
    </tableColumn>
  </tableColumns>
  <tableStyleInfo showFirstColumn="0" showLastColumn="0" showRowStripes="1" showColumnStripes="0"/>
</table>
</file>

<file path=xl/tables/table6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2" xr:uid="{00000000-000C-0000-FFFF-FFFF3C000000}" name="Submódulo4.260_55" displayName="Submódulo4.260_55" ref="A102:D104" totalsRowCount="1">
  <autoFilter ref="A102:D103" xr:uid="{00000000-0009-0000-0100-000084000000}"/>
  <tableColumns count="4">
    <tableColumn id="1" xr3:uid="{00000000-0010-0000-3C00-000001000000}" name="4.2" totalsRowLabel="Total"/>
    <tableColumn id="2" xr3:uid="{00000000-0010-0000-3C00-000002000000}" name="Substituto na Intrajornada "/>
    <tableColumn id="3" xr3:uid="{00000000-0010-0000-3C00-000003000000}" name="Comentário"/>
    <tableColumn id="4" xr3:uid="{00000000-0010-0000-3C00-000004000000}" name="Valor" totalsRowFunction="custom">
      <totalsRowFormula>D103</totalsRowFormula>
    </tableColumn>
  </tableColumns>
  <tableStyleInfo showFirstColumn="0" showLastColumn="0" showRowStripes="1" showColumnStripes="0"/>
</table>
</file>

<file path=xl/tables/table6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7" xr:uid="{00000000-000C-0000-FFFF-FFFF3D000000}" name="Table452_56" displayName="Table452_56" ref="A16:D21" totalsRowShown="0">
  <tableColumns count="4">
    <tableColumn id="1" xr3:uid="{00000000-0010-0000-3D00-000001000000}" name="Item"/>
    <tableColumn id="2" xr3:uid="{00000000-0010-0000-3D00-000002000000}" name="Descrição"/>
    <tableColumn id="3" xr3:uid="{00000000-0010-0000-3D00-000003000000}" name="Comentário"/>
    <tableColumn id="4" xr3:uid="{00000000-0010-0000-3D00-000004000000}" name="Valor"/>
  </tableColumns>
  <tableStyleInfo showFirstColumn="0" showLastColumn="0" showRowStripes="1" showColumnStripes="0"/>
</table>
</file>

<file path=xl/tables/table6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3E000000}" name="Módulo153_66" displayName="Módulo153_66" ref="A24:D31" totalsRowCount="1">
  <autoFilter ref="A24:D30" xr:uid="{00000000-0009-0000-0100-00000D000000}"/>
  <tableColumns count="4">
    <tableColumn id="1" xr3:uid="{00000000-0010-0000-3E00-000001000000}" name="1" totalsRowLabel="Total" totalsRowDxfId="85"/>
    <tableColumn id="2" xr3:uid="{00000000-0010-0000-3E00-000002000000}" name="Composição da Remuneração"/>
    <tableColumn id="3" xr3:uid="{00000000-0010-0000-3E00-000003000000}" name="Comentário" totalsRowDxfId="84"/>
    <tableColumn id="4" xr3:uid="{00000000-0010-0000-3E00-000004000000}" name="Valor" totalsRowFunction="custom" totalsRowDxfId="83">
      <totalsRowFormula>TRUNC((SUM(D25:D30)),2)</totalsRowFormula>
    </tableColumn>
  </tableColumns>
  <tableStyleInfo showFirstColumn="0" showLastColumn="0" showRowStripes="1" showColumnStripes="0"/>
</table>
</file>

<file path=xl/tables/table6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3F000000}" name="Módulo358_68" displayName="Módulo358_68" ref="A76:D83" totalsRowCount="1">
  <autoFilter ref="A76:D82" xr:uid="{00000000-0009-0000-0100-000018000000}"/>
  <tableColumns count="4">
    <tableColumn id="1" xr3:uid="{00000000-0010-0000-3F00-000001000000}" name="3" totalsRowLabel="Total"/>
    <tableColumn id="2" xr3:uid="{00000000-0010-0000-3F00-000002000000}" name="Provisão para Rescisão"/>
    <tableColumn id="3" xr3:uid="{00000000-0010-0000-3F00-000003000000}" name="Percentual" totalsRowFunction="custom">
      <totalsRowFormula>SUM(C77:C82)</totalsRowFormula>
    </tableColumn>
    <tableColumn id="4" xr3:uid="{00000000-0010-0000-3F00-000004000000}" name="Valor" totalsRowFunction="custom">
      <totalsRowFormula>TRUNC((SUM(D77:D82)),2)</totalsRowFormula>
    </tableColumn>
  </tableColumns>
  <tableStyleInfo showFirstColumn="0" showLastColumn="0" showRowStripes="1" showColumnStripes="0"/>
</table>
</file>

<file path=xl/tables/table6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40000000}" name="Módulo562_69" displayName="Módulo562_69" ref="A113:D119" totalsRowCount="1">
  <autoFilter ref="A113:D118" xr:uid="{00000000-0009-0000-0100-000023000000}"/>
  <tableColumns count="4">
    <tableColumn id="1" xr3:uid="{00000000-0010-0000-4000-000001000000}" name="5" totalsRowLabel="Total"/>
    <tableColumn id="2" xr3:uid="{00000000-0010-0000-4000-000002000000}" name="Insumos Diversos"/>
    <tableColumn id="3" xr3:uid="{00000000-0010-0000-4000-000003000000}" name="Comentário"/>
    <tableColumn id="4" xr3:uid="{00000000-0010-0000-4000-000004000000}" name="Valor" totalsRowFunction="custom">
      <totalsRowFormula>TRUNC(SUM(D114:D118),2)</totalsRowFormula>
    </tableColumn>
  </tableColumns>
  <tableStyleInfo showFirstColumn="0" showLastColumn="0" showRowStripes="1" showColumnStripes="0"/>
</table>
</file>

<file path=xl/tables/table6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41000000}" name="Módulo663_72" displayName="Módulo663_72" ref="A129:D136" totalsRowCount="1">
  <tableColumns count="4">
    <tableColumn id="1" xr3:uid="{00000000-0010-0000-4100-000001000000}" name="6" totalsRowLabel="Total" totalsRowDxfId="82"/>
    <tableColumn id="2" xr3:uid="{00000000-0010-0000-4100-000002000000}" name="Custos Indiretos, Tributos e Lucro"/>
    <tableColumn id="3" xr3:uid="{00000000-0010-0000-4100-000003000000}" name="Percentual" totalsRowDxfId="81"/>
    <tableColumn id="4" xr3:uid="{00000000-0010-0000-4100-000004000000}" name="Valor" totalsRowFunction="custom" totalsRowDxfId="80">
      <totalsRowFormula>TRUNC(SUM(D130:D132),2)</totalsRowFormula>
    </tableColumn>
  </tableColumns>
  <tableStyleInfo showFirstColumn="0" showLastColumn="0" showRowStripes="1" showColumnStripes="0"/>
</table>
</file>

<file path=xl/tables/table6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7" xr:uid="{00000000-000C-0000-FFFF-FFFF42000000}" name="ResumoMódulo257_74" displayName="ResumoMódulo257_74" ref="A69:D73" totalsRowCount="1">
  <autoFilter ref="A69:D72" xr:uid="{00000000-0009-0000-0100-000039000000}"/>
  <tableColumns count="4">
    <tableColumn id="1" xr3:uid="{00000000-0010-0000-4200-000001000000}" name="2" totalsRowLabel="Total"/>
    <tableColumn id="2" xr3:uid="{00000000-0010-0000-4200-000002000000}" name="Encargos e Benefícios Anuais, Mensais e Diários"/>
    <tableColumn id="3" xr3:uid="{00000000-0010-0000-4200-000003000000}" name="Comentário"/>
    <tableColumn id="4" xr3:uid="{00000000-0010-0000-4200-000004000000}" name="Valor" totalsRowFunction="custom">
      <totalsRowFormula>TRUNC((SUM(D70:D72)),2)</totalsRowFormula>
    </tableColumn>
  </tableColumns>
  <tableStyleInfo showFirstColumn="0" showLastColumn="0" showRowStripes="1" showColumnStripes="0"/>
</table>
</file>

<file path=xl/tables/table6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8" xr:uid="{00000000-000C-0000-FFFF-FFFF43000000}" name="ResumoMódulo461_75" displayName="ResumoMódulo461_75" ref="A107:D110" totalsRowCount="1">
  <autoFilter ref="A107:D109" xr:uid="{00000000-0009-0000-0100-000044000000}"/>
  <tableColumns count="4">
    <tableColumn id="1" xr3:uid="{00000000-0010-0000-4300-000001000000}" name="4" totalsRowLabel="Total"/>
    <tableColumn id="2" xr3:uid="{00000000-0010-0000-4300-000002000000}" name="Custo de Reposição do Profissional Ausente"/>
    <tableColumn id="3" xr3:uid="{00000000-0010-0000-4300-000003000000}" name="Comentário" totalsRowLabel="*Nota: Se o titular USUFRUIR do descanso intrajornada, o total é o somatório dos subitens 4.1 e 4.2"/>
    <tableColumn id="4" xr3:uid="{00000000-0010-0000-4300-000004000000}" name="Valor" totalsRowFunction="custom">
      <totalsRowFormula>TRUNC((SUM(D108:D109)),2)</totalsRowFormula>
    </tableColumn>
  </tableColumns>
  <tableStyleInfo showFirstColumn="0" showLastColumn="0" showRowStripes="1" showColumnStripes="0"/>
</table>
</file>

<file path=xl/tables/table6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9" xr:uid="{00000000-000C-0000-FFFF-FFFF44000000}" name="ResumoPosto64_77" displayName="ResumoPosto64_77" ref="A140:D148" totalsRowShown="0">
  <autoFilter ref="A140:D148" xr:uid="{00000000-0009-0000-0100-00004F000000}"/>
  <tableColumns count="4">
    <tableColumn id="1" xr3:uid="{00000000-0010-0000-4400-000001000000}" name="Item"/>
    <tableColumn id="2" xr3:uid="{00000000-0010-0000-4400-000002000000}" name="Mão de obra vinculada à execução contratual"/>
    <tableColumn id="3" xr3:uid="{00000000-0010-0000-4400-000003000000}" name="-"/>
    <tableColumn id="4" xr3:uid="{00000000-0010-0000-4400-000004000000}" name="Valor"/>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06000000}" name="Módulo6" displayName="Módulo6" ref="A129:D136" totalsRowShown="0">
  <tableColumns count="4">
    <tableColumn id="1" xr3:uid="{00000000-0010-0000-0600-000001000000}" name="6"/>
    <tableColumn id="2" xr3:uid="{00000000-0010-0000-0600-000002000000}" name="Custos Indiretos, Tributos e Lucro"/>
    <tableColumn id="3" xr3:uid="{00000000-0010-0000-0600-000003000000}" name="Percentual"/>
    <tableColumn id="4" xr3:uid="{00000000-0010-0000-0600-000004000000}" name="Valor"/>
  </tableColumns>
  <tableStyleInfo showFirstColumn="0" showLastColumn="0" showRowStripes="1" showColumnStripes="0"/>
</table>
</file>

<file path=xl/tables/table7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0" xr:uid="{00000000-000C-0000-FFFF-FFFF45000000}" name="Submódulo2.154_73" displayName="Submódulo2.154_73" ref="A36:D39" totalsRowCount="1">
  <autoFilter ref="A36:D38" xr:uid="{00000000-0009-0000-0100-00005A000000}"/>
  <tableColumns count="4">
    <tableColumn id="1" xr3:uid="{00000000-0010-0000-4500-000001000000}" name="2.1" totalsRowLabel="Total"/>
    <tableColumn id="2" xr3:uid="{00000000-0010-0000-4500-000002000000}" name="13º (décimo terceiro) Salário, Férias e Adicional de Férias"/>
    <tableColumn id="3" xr3:uid="{00000000-0010-0000-4500-000003000000}" name="Percentual"/>
    <tableColumn id="4" xr3:uid="{00000000-0010-0000-4500-000004000000}" name="Valor" totalsRowFunction="custom">
      <totalsRowFormula>TRUNC((SUM(D37:D38)),2)</totalsRowFormula>
    </tableColumn>
  </tableColumns>
  <tableStyleInfo showFirstColumn="0" showLastColumn="0" showRowStripes="1" showColumnStripes="0"/>
</table>
</file>

<file path=xl/tables/table7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1" xr:uid="{00000000-000C-0000-FFFF-FFFF46000000}" name="Submódulo2.255_76" displayName="Submódulo2.255_76" ref="A46:D55" totalsRowCount="1">
  <autoFilter ref="A46:D54" xr:uid="{00000000-0009-0000-0100-000065000000}"/>
  <tableColumns count="4">
    <tableColumn id="1" xr3:uid="{00000000-0010-0000-4600-000001000000}" name="2.2" totalsRowLabel="Total" totalsRowDxfId="79"/>
    <tableColumn id="2" xr3:uid="{00000000-0010-0000-4600-000002000000}" name="GPS, FGTS e outras contribuições"/>
    <tableColumn id="3" xr3:uid="{00000000-0010-0000-4600-000003000000}" name="Percentual" totalsRowFunction="custom" totalsRowDxfId="78">
      <totalsRowFormula>SUM(C47:C54)</totalsRowFormula>
    </tableColumn>
    <tableColumn id="4" xr3:uid="{00000000-0010-0000-4600-000004000000}" name="Valor " totalsRowFunction="custom" totalsRowDxfId="77">
      <totalsRowFormula>TRUNC((SUM(D47:D54)),2)</totalsRowFormula>
    </tableColumn>
  </tableColumns>
  <tableStyleInfo showFirstColumn="0" showLastColumn="0" showRowStripes="1" showColumnStripes="0"/>
</table>
</file>

<file path=xl/tables/table7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2" xr:uid="{00000000-000C-0000-FFFF-FFFF47000000}" name="Submódulo2.356_65" displayName="Submódulo2.356_65" ref="A58:D66" totalsRowCount="1">
  <autoFilter ref="A58:D65" xr:uid="{00000000-0009-0000-0100-000070000000}"/>
  <tableColumns count="4">
    <tableColumn id="1" xr3:uid="{00000000-0010-0000-4700-000001000000}" name="2.3" totalsRowLabel="Total" totalsRowDxfId="76"/>
    <tableColumn id="2" xr3:uid="{00000000-0010-0000-4700-000002000000}" name="Benefícios Mensais e Diários"/>
    <tableColumn id="3" xr3:uid="{00000000-0010-0000-4700-000003000000}" name="Comentário"/>
    <tableColumn id="4" xr3:uid="{00000000-0010-0000-4700-000004000000}" name="Valor" totalsRowFunction="custom" totalsRowDxfId="75">
      <totalsRowFormula>TRUNC((SUM(D59:D65)),2)</totalsRowFormula>
    </tableColumn>
  </tableColumns>
  <tableStyleInfo showFirstColumn="0" showLastColumn="0" showRowStripes="1" showColumnStripes="0"/>
</table>
</file>

<file path=xl/tables/table7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3" xr:uid="{00000000-000C-0000-FFFF-FFFF48000000}" name="Submódulo4.159_67" displayName="Submódulo4.159_67" ref="A92:D99" totalsRowCount="1">
  <autoFilter ref="A92:D98" xr:uid="{00000000-0009-0000-0100-00007B000000}"/>
  <tableColumns count="4">
    <tableColumn id="1" xr3:uid="{00000000-0010-0000-4800-000001000000}" name="4.1" totalsRowLabel="Total"/>
    <tableColumn id="2" xr3:uid="{00000000-0010-0000-4800-000002000000}" name="Substituto nas Ausências Legais"/>
    <tableColumn id="3" xr3:uid="{00000000-0010-0000-4800-000003000000}" name="Percentual" totalsRowFunction="sum"/>
    <tableColumn id="4" xr3:uid="{00000000-0010-0000-4800-000004000000}" name="Valor" totalsRowFunction="custom">
      <totalsRowFormula>TRUNC((SUM(D93:D98)),2)</totalsRowFormula>
    </tableColumn>
  </tableColumns>
  <tableStyleInfo showFirstColumn="0" showLastColumn="0" showRowStripes="1" showColumnStripes="0"/>
</table>
</file>

<file path=xl/tables/table7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4" xr:uid="{00000000-000C-0000-FFFF-FFFF49000000}" name="Submódulo4.260_71" displayName="Submódulo4.260_71" ref="A102:D104" totalsRowCount="1">
  <autoFilter ref="A102:D103" xr:uid="{00000000-0009-0000-0100-000086000000}"/>
  <tableColumns count="4">
    <tableColumn id="1" xr3:uid="{00000000-0010-0000-4900-000001000000}" name="4.2" totalsRowLabel="Total"/>
    <tableColumn id="2" xr3:uid="{00000000-0010-0000-4900-000002000000}" name="Substituto na Intrajornada "/>
    <tableColumn id="3" xr3:uid="{00000000-0010-0000-4900-000003000000}" name="Comentário"/>
    <tableColumn id="4" xr3:uid="{00000000-0010-0000-4900-000004000000}" name="Valor" totalsRowFunction="custom">
      <totalsRowFormula>D103</totalsRowFormula>
    </tableColumn>
  </tableColumns>
  <tableStyleInfo showFirstColumn="0" showLastColumn="0" showRowStripes="1" showColumnStripes="0"/>
</table>
</file>

<file path=xl/tables/table7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9" xr:uid="{00000000-000C-0000-FFFF-FFFF4A000000}" name="Table452_70" displayName="Table452_70" ref="A16:D21" totalsRowShown="0">
  <tableColumns count="4">
    <tableColumn id="1" xr3:uid="{00000000-0010-0000-4A00-000001000000}" name="Item"/>
    <tableColumn id="2" xr3:uid="{00000000-0010-0000-4A00-000002000000}" name="Descrição"/>
    <tableColumn id="3" xr3:uid="{00000000-0010-0000-4A00-000003000000}" name="Comentário"/>
    <tableColumn id="4" xr3:uid="{00000000-0010-0000-4A00-000004000000}" name="Valor"/>
  </tableColumns>
  <tableStyleInfo showFirstColumn="0" showLastColumn="0" showRowStripes="1" showColumnStripes="0"/>
</table>
</file>

<file path=xl/tables/table7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4B000000}" name="Módulo153_78" displayName="Módulo153_78" ref="A24:D31" totalsRowCount="1">
  <autoFilter ref="A24:D30" xr:uid="{00000000-0009-0000-0100-00000E000000}"/>
  <tableColumns count="4">
    <tableColumn id="1" xr3:uid="{00000000-0010-0000-4B00-000001000000}" name="1" totalsRowLabel="Total"/>
    <tableColumn id="2" xr3:uid="{00000000-0010-0000-4B00-000002000000}" name="Composição da Remuneração"/>
    <tableColumn id="3" xr3:uid="{00000000-0010-0000-4B00-000003000000}" name="Comentário"/>
    <tableColumn id="4" xr3:uid="{00000000-0010-0000-4B00-000004000000}" name="Valor" totalsRowFunction="custom">
      <totalsRowFormula>TRUNC(SUM(D25:D30),2)</totalsRowFormula>
    </tableColumn>
  </tableColumns>
  <tableStyleInfo showFirstColumn="0" showLastColumn="0" showRowStripes="1" showColumnStripes="0"/>
</table>
</file>

<file path=xl/tables/table7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4C000000}" name="Módulo358_83" displayName="Módulo358_83" ref="A76:D83" totalsRowCount="1">
  <autoFilter ref="A76:D82" xr:uid="{00000000-0009-0000-0100-000019000000}"/>
  <tableColumns count="4">
    <tableColumn id="1" xr3:uid="{00000000-0010-0000-4C00-000001000000}" name="3" totalsRowLabel="Total"/>
    <tableColumn id="2" xr3:uid="{00000000-0010-0000-4C00-000002000000}" name="Provisão para Rescisão"/>
    <tableColumn id="3" xr3:uid="{00000000-0010-0000-4C00-000003000000}" name="Percentual" totalsRowFunction="custom">
      <totalsRowFormula>SUM(C77:C82)</totalsRowFormula>
    </tableColumn>
    <tableColumn id="4" xr3:uid="{00000000-0010-0000-4C00-000004000000}" name="Valor" totalsRowFunction="custom">
      <totalsRowFormula>TRUNC((SUM(D77:D82)),2)</totalsRowFormula>
    </tableColumn>
  </tableColumns>
  <tableStyleInfo showFirstColumn="0" showLastColumn="0" showRowStripes="1" showColumnStripes="0"/>
</table>
</file>

<file path=xl/tables/table7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4D000000}" name="Módulo562_84" displayName="Módulo562_84" ref="A113:D119" totalsRowCount="1">
  <autoFilter ref="A113:D118" xr:uid="{00000000-0009-0000-0100-000024000000}"/>
  <tableColumns count="4">
    <tableColumn id="1" xr3:uid="{00000000-0010-0000-4D00-000001000000}" name="5" totalsRowLabel="Total"/>
    <tableColumn id="2" xr3:uid="{00000000-0010-0000-4D00-000002000000}" name="Insumos Diversos"/>
    <tableColumn id="3" xr3:uid="{00000000-0010-0000-4D00-000003000000}" name="Comentário"/>
    <tableColumn id="4" xr3:uid="{00000000-0010-0000-4D00-000004000000}" name="Valor" totalsRowFunction="custom">
      <totalsRowFormula>TRUNC(SUM(D114:D118),2)</totalsRowFormula>
    </tableColumn>
  </tableColumns>
  <tableStyleInfo showFirstColumn="0" showLastColumn="0" showRowStripes="1" showColumnStripes="0"/>
</table>
</file>

<file path=xl/tables/table7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4E000000}" name="Módulo663_85" displayName="Módulo663_85" ref="A129:D136" totalsRowCount="1">
  <tableColumns count="4">
    <tableColumn id="1" xr3:uid="{00000000-0010-0000-4E00-000001000000}" name="6" totalsRowLabel="Total" totalsRowDxfId="74"/>
    <tableColumn id="2" xr3:uid="{00000000-0010-0000-4E00-000002000000}" name="Custos Indiretos, Tributos e Lucro"/>
    <tableColumn id="3" xr3:uid="{00000000-0010-0000-4E00-000003000000}" name="Percentual" totalsRowDxfId="73"/>
    <tableColumn id="4" xr3:uid="{00000000-0010-0000-4E00-000004000000}" name="Valor" totalsRowFunction="custom" totalsRowDxfId="72">
      <totalsRowFormula>TRUNC(SUM(D130:D132),2)</totalsRow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8" xr:uid="{00000000-000C-0000-FFFF-FFFF07000000}" name="ResumoMódulo2" displayName="ResumoMódulo2" ref="A61:D65" totalsRowShown="0">
  <tableColumns count="4">
    <tableColumn id="1" xr3:uid="{00000000-0010-0000-0700-000001000000}" name="2"/>
    <tableColumn id="2" xr3:uid="{00000000-0010-0000-0700-000002000000}" name="Encargos e Benefícios Anuais, Mensais e Diários"/>
    <tableColumn id="3" xr3:uid="{00000000-0010-0000-0700-000003000000}" name="Comentário"/>
    <tableColumn id="4" xr3:uid="{00000000-0010-0000-0700-000004000000}" name="Valor"/>
  </tableColumns>
  <tableStyleInfo showFirstColumn="0" showLastColumn="0" showRowStripes="1" showColumnStripes="0"/>
</table>
</file>

<file path=xl/tables/table8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8" xr:uid="{00000000-000C-0000-FFFF-FFFF4F000000}" name="ResumoMódulo257_86" displayName="ResumoMódulo257_86" ref="A69:D73" totalsRowCount="1">
  <autoFilter ref="A69:D72" xr:uid="{00000000-0009-0000-0100-00003A000000}"/>
  <tableColumns count="4">
    <tableColumn id="1" xr3:uid="{00000000-0010-0000-4F00-000001000000}" name="2" totalsRowLabel="Total"/>
    <tableColumn id="2" xr3:uid="{00000000-0010-0000-4F00-000002000000}" name="Encargos e Benefícios Anuais, Mensais e Diários"/>
    <tableColumn id="3" xr3:uid="{00000000-0010-0000-4F00-000003000000}" name="Comentário"/>
    <tableColumn id="4" xr3:uid="{00000000-0010-0000-4F00-000004000000}" name="Valor" totalsRowFunction="custom">
      <totalsRowFormula>TRUNC(SUM(D70:D72),2)</totalsRowFormula>
    </tableColumn>
  </tableColumns>
  <tableStyleInfo showFirstColumn="0" showLastColumn="0" showRowStripes="1" showColumnStripes="0"/>
</table>
</file>

<file path=xl/tables/table8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9" xr:uid="{00000000-000C-0000-FFFF-FFFF50000000}" name="ResumoMódulo461_88" displayName="ResumoMódulo461_88" ref="A107:D110" totalsRowCount="1">
  <autoFilter ref="A107:D109" xr:uid="{00000000-0009-0000-0100-000045000000}"/>
  <tableColumns count="4">
    <tableColumn id="1" xr3:uid="{00000000-0010-0000-5000-000001000000}" name="4" totalsRowLabel="Total"/>
    <tableColumn id="2" xr3:uid="{00000000-0010-0000-5000-000002000000}" name="Custo de Reposição do Profissional Ausente"/>
    <tableColumn id="3" xr3:uid="{00000000-0010-0000-5000-000003000000}" name="Comentário" totalsRowLabel="*Nota: Se o titular USUFRUIR do descanso intrajornada, o total é o somatório dos subitens 4.1 e 4.2"/>
    <tableColumn id="4" xr3:uid="{00000000-0010-0000-5000-000004000000}" name="Valor" totalsRowFunction="custom">
      <totalsRowFormula>TRUNC((SUM(D108:D109)),2)</totalsRowFormula>
    </tableColumn>
  </tableColumns>
  <tableStyleInfo showFirstColumn="0" showLastColumn="0" showRowStripes="1" showColumnStripes="0"/>
</table>
</file>

<file path=xl/tables/table8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0" xr:uid="{00000000-000C-0000-FFFF-FFFF51000000}" name="ResumoPosto64_90" displayName="ResumoPosto64_90" ref="A140:D148" totalsRowShown="0">
  <autoFilter ref="A140:D148" xr:uid="{00000000-0009-0000-0100-000050000000}"/>
  <tableColumns count="4">
    <tableColumn id="1" xr3:uid="{00000000-0010-0000-5100-000001000000}" name="Item"/>
    <tableColumn id="2" xr3:uid="{00000000-0010-0000-5100-000002000000}" name="Mão de obra vinculada à execução contratual"/>
    <tableColumn id="3" xr3:uid="{00000000-0010-0000-5100-000003000000}" name="-"/>
    <tableColumn id="4" xr3:uid="{00000000-0010-0000-5100-000004000000}" name="Valor"/>
  </tableColumns>
  <tableStyleInfo showFirstColumn="0" showLastColumn="0" showRowStripes="1" showColumnStripes="0"/>
</table>
</file>

<file path=xl/tables/table8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1" xr:uid="{00000000-000C-0000-FFFF-FFFF52000000}" name="Submódulo2.154_87" displayName="Submódulo2.154_87" ref="A36:D39" totalsRowCount="1">
  <autoFilter ref="A36:D38" xr:uid="{00000000-0009-0000-0100-00005B000000}"/>
  <tableColumns count="4">
    <tableColumn id="1" xr3:uid="{00000000-0010-0000-5200-000001000000}" name="2.1" totalsRowLabel="Total"/>
    <tableColumn id="2" xr3:uid="{00000000-0010-0000-5200-000002000000}" name="13º (décimo terceiro) Salário, Férias e Adicional de Férias"/>
    <tableColumn id="3" xr3:uid="{00000000-0010-0000-5200-000003000000}" name="Percentual"/>
    <tableColumn id="4" xr3:uid="{00000000-0010-0000-5200-000004000000}" name="Valor" totalsRowFunction="custom">
      <totalsRowFormula>TRUNC((SUM(D37:D38)),2)</totalsRowFormula>
    </tableColumn>
  </tableColumns>
  <tableStyleInfo showFirstColumn="0" showLastColumn="0" showRowStripes="1" showColumnStripes="0"/>
</table>
</file>

<file path=xl/tables/table8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2" xr:uid="{00000000-000C-0000-FFFF-FFFF53000000}" name="Submódulo2.255_89" displayName="Submódulo2.255_89" ref="A46:D55" totalsRowCount="1">
  <autoFilter ref="A46:D54" xr:uid="{00000000-0009-0000-0100-000066000000}"/>
  <tableColumns count="4">
    <tableColumn id="1" xr3:uid="{00000000-0010-0000-5300-000001000000}" name="2.2" totalsRowLabel="Total" totalsRowDxfId="71"/>
    <tableColumn id="2" xr3:uid="{00000000-0010-0000-5300-000002000000}" name="GPS, FGTS e outras contribuições"/>
    <tableColumn id="3" xr3:uid="{00000000-0010-0000-5300-000003000000}" name="Percentual" totalsRowFunction="custom" totalsRowDxfId="70">
      <totalsRowFormula>SUM(C47:C54)</totalsRowFormula>
    </tableColumn>
    <tableColumn id="4" xr3:uid="{00000000-0010-0000-5300-000004000000}" name="Valor " totalsRowFunction="custom" totalsRowDxfId="69">
      <totalsRowFormula>TRUNC((SUM(D47:D54)),2)</totalsRowFormula>
    </tableColumn>
  </tableColumns>
  <tableStyleInfo showFirstColumn="0" showLastColumn="0" showRowStripes="1" showColumnStripes="0"/>
</table>
</file>

<file path=xl/tables/table8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3" xr:uid="{00000000-000C-0000-FFFF-FFFF54000000}" name="Submódulo2.356_79" displayName="Submódulo2.356_79" ref="A58:D66" totalsRowCount="1">
  <autoFilter ref="A58:D65" xr:uid="{00000000-0009-0000-0100-000071000000}"/>
  <tableColumns count="4">
    <tableColumn id="1" xr3:uid="{00000000-0010-0000-5400-000001000000}" name="2.3" totalsRowLabel="Total" totalsRowDxfId="68"/>
    <tableColumn id="2" xr3:uid="{00000000-0010-0000-5400-000002000000}" name="Benefícios Mensais e Diários"/>
    <tableColumn id="3" xr3:uid="{00000000-0010-0000-5400-000003000000}" name="Comentário"/>
    <tableColumn id="4" xr3:uid="{00000000-0010-0000-5400-000004000000}" name="Valor" totalsRowFunction="custom" totalsRowDxfId="67">
      <totalsRowFormula>TRUNC((SUM(D59:D65)),2)</totalsRowFormula>
    </tableColumn>
  </tableColumns>
  <tableStyleInfo showFirstColumn="0" showLastColumn="0" showRowStripes="1" showColumnStripes="0"/>
</table>
</file>

<file path=xl/tables/table8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4" xr:uid="{00000000-000C-0000-FFFF-FFFF55000000}" name="Submódulo4.159_80" displayName="Submódulo4.159_80" ref="A92:D99" totalsRowCount="1">
  <autoFilter ref="A92:D98" xr:uid="{00000000-0009-0000-0100-00007C000000}"/>
  <tableColumns count="4">
    <tableColumn id="1" xr3:uid="{00000000-0010-0000-5500-000001000000}" name="4.1" totalsRowLabel="Total"/>
    <tableColumn id="2" xr3:uid="{00000000-0010-0000-5500-000002000000}" name="Substituto nas Ausências Legais"/>
    <tableColumn id="3" xr3:uid="{00000000-0010-0000-5500-000003000000}" name="Percentual" totalsRowFunction="sum"/>
    <tableColumn id="4" xr3:uid="{00000000-0010-0000-5500-000004000000}" name="Valor" totalsRowFunction="custom">
      <totalsRowFormula>TRUNC((SUM(D93:D98)),2)</totalsRowFormula>
    </tableColumn>
  </tableColumns>
  <tableStyleInfo showFirstColumn="0" showLastColumn="0" showRowStripes="1" showColumnStripes="0"/>
</table>
</file>

<file path=xl/tables/table8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5" xr:uid="{00000000-000C-0000-FFFF-FFFF56000000}" name="Submódulo4.260_81" displayName="Submódulo4.260_81" ref="A102:D104" totalsRowCount="1">
  <autoFilter ref="A102:D103" xr:uid="{00000000-0009-0000-0100-000087000000}"/>
  <tableColumns count="4">
    <tableColumn id="1" xr3:uid="{00000000-0010-0000-5600-000001000000}" name="4.2" totalsRowLabel="Total"/>
    <tableColumn id="2" xr3:uid="{00000000-0010-0000-5600-000002000000}" name="Substituto na Intrajornada "/>
    <tableColumn id="3" xr3:uid="{00000000-0010-0000-5600-000003000000}" name="Comentário"/>
    <tableColumn id="4" xr3:uid="{00000000-0010-0000-5600-000004000000}" name="Valor" totalsRowFunction="custom">
      <totalsRowFormula>D103</totalsRowFormula>
    </tableColumn>
  </tableColumns>
  <tableStyleInfo showFirstColumn="0" showLastColumn="0" showRowStripes="1" showColumnStripes="0"/>
</table>
</file>

<file path=xl/tables/table8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0" xr:uid="{00000000-000C-0000-FFFF-FFFF57000000}" name="Table452_82" displayName="Table452_82" ref="A16:D21" totalsRowShown="0">
  <tableColumns count="4">
    <tableColumn id="1" xr3:uid="{00000000-0010-0000-5700-000001000000}" name="Item"/>
    <tableColumn id="2" xr3:uid="{00000000-0010-0000-5700-000002000000}" name="Descrição"/>
    <tableColumn id="3" xr3:uid="{00000000-0010-0000-5700-000003000000}" name="Comentário"/>
    <tableColumn id="4" xr3:uid="{00000000-0010-0000-5700-000004000000}" name="Valor"/>
  </tableColumns>
  <tableStyleInfo showFirstColumn="0" showLastColumn="0" showRowStripes="1" showColumnStripes="0"/>
</table>
</file>

<file path=xl/tables/table8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58000000}" name="Módulo153" displayName="Módulo153" ref="A24:D31" totalsRowCount="1">
  <autoFilter ref="A24:D30" xr:uid="{00000000-0009-0000-0100-000005000000}"/>
  <tableColumns count="4">
    <tableColumn id="1" xr3:uid="{00000000-0010-0000-5800-000001000000}" name="1" totalsRowLabel="Total"/>
    <tableColumn id="2" xr3:uid="{00000000-0010-0000-5800-000002000000}" name="Composição da Remuneração"/>
    <tableColumn id="3" xr3:uid="{00000000-0010-0000-5800-000003000000}" name="Comentário"/>
    <tableColumn id="4" xr3:uid="{00000000-0010-0000-5800-000004000000}" name="Valor" totalsRowFunction="custom">
      <totalsRowFormula>TRUNC((SUM(D25:D30)),2)</totalsRow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9" xr:uid="{00000000-000C-0000-FFFF-FFFF08000000}" name="ResumoMódulo4" displayName="ResumoMódulo4" ref="A108:D111" totalsRowShown="0">
  <tableColumns count="4">
    <tableColumn id="1" xr3:uid="{00000000-0010-0000-0800-000001000000}" name="4"/>
    <tableColumn id="2" xr3:uid="{00000000-0010-0000-0800-000002000000}" name="Custo de Reposição do Profissional Ausente"/>
    <tableColumn id="3" xr3:uid="{00000000-0010-0000-0800-000003000000}" name="Comentário"/>
    <tableColumn id="4" xr3:uid="{00000000-0010-0000-0800-000004000000}" name="Valor"/>
  </tableColumns>
  <tableStyleInfo showFirstColumn="0" showLastColumn="0" showRowStripes="1" showColumnStripes="0"/>
</table>
</file>

<file path=xl/tables/table9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59000000}" name="Módulo358" displayName="Módulo358" ref="A76:D83" totalsRowCount="1">
  <autoFilter ref="A76:D82" xr:uid="{00000000-0009-0000-0100-000010000000}"/>
  <tableColumns count="4">
    <tableColumn id="1" xr3:uid="{00000000-0010-0000-5900-000001000000}" name="3" totalsRowLabel="Total"/>
    <tableColumn id="2" xr3:uid="{00000000-0010-0000-5900-000002000000}" name="Provisão para Rescisão"/>
    <tableColumn id="3" xr3:uid="{00000000-0010-0000-5900-000003000000}" name="Percentual" totalsRowFunction="custom">
      <totalsRowFormula>SUM(C77:C82)</totalsRowFormula>
    </tableColumn>
    <tableColumn id="4" xr3:uid="{00000000-0010-0000-5900-000004000000}" name="Valor" totalsRowFunction="custom">
      <totalsRowFormula>TRUNC((SUM(D77:D82)),2)</totalsRowFormula>
    </tableColumn>
  </tableColumns>
  <tableStyleInfo showFirstColumn="0" showLastColumn="0" showRowStripes="1" showColumnStripes="0"/>
</table>
</file>

<file path=xl/tables/table9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5A000000}" name="Módulo562" displayName="Módulo562" ref="A113:D119" totalsRowCount="1">
  <autoFilter ref="A113:D118" xr:uid="{00000000-0009-0000-0100-00001B000000}"/>
  <tableColumns count="4">
    <tableColumn id="1" xr3:uid="{00000000-0010-0000-5A00-000001000000}" name="5" totalsRowLabel="Total"/>
    <tableColumn id="2" xr3:uid="{00000000-0010-0000-5A00-000002000000}" name="Insumos Diversos"/>
    <tableColumn id="3" xr3:uid="{00000000-0010-0000-5A00-000003000000}" name="Comentário"/>
    <tableColumn id="4" xr3:uid="{00000000-0010-0000-5A00-000004000000}" name="Valor" totalsRowFunction="custom">
      <totalsRowFormula>TRUNC(SUM(D114:D118),2)</totalsRowFormula>
    </tableColumn>
  </tableColumns>
  <tableStyleInfo showFirstColumn="0" showLastColumn="0" showRowStripes="1" showColumnStripes="0"/>
</table>
</file>

<file path=xl/tables/table9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5B000000}" name="Módulo663" displayName="Módulo663" ref="A129:D136" totalsRowCount="1">
  <tableColumns count="4">
    <tableColumn id="1" xr3:uid="{00000000-0010-0000-5B00-000001000000}" name="6" totalsRowLabel="Total" totalsRowDxfId="66"/>
    <tableColumn id="2" xr3:uid="{00000000-0010-0000-5B00-000002000000}" name="Custos Indiretos, Tributos e Lucro"/>
    <tableColumn id="3" xr3:uid="{00000000-0010-0000-5B00-000003000000}" name="Percentual" totalsRowDxfId="65"/>
    <tableColumn id="4" xr3:uid="{00000000-0010-0000-5B00-000004000000}" name="Valor" totalsRowFunction="custom" totalsRowDxfId="64">
      <totalsRowFormula>TRUNC(SUM(D130:D132),2)</totalsRowFormula>
    </tableColumn>
  </tableColumns>
  <tableStyleInfo showFirstColumn="0" showLastColumn="0" showRowStripes="1" showColumnStripes="0"/>
</table>
</file>

<file path=xl/tables/table9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9" xr:uid="{00000000-000C-0000-FFFF-FFFF5C000000}" name="ResumoMódulo257" displayName="ResumoMódulo257" ref="A69:D73" totalsRowCount="1">
  <autoFilter ref="A69:D72" xr:uid="{00000000-0009-0000-0100-000031000000}"/>
  <tableColumns count="4">
    <tableColumn id="1" xr3:uid="{00000000-0010-0000-5C00-000001000000}" name="2" totalsRowLabel="Total"/>
    <tableColumn id="2" xr3:uid="{00000000-0010-0000-5C00-000002000000}" name="Encargos e Benefícios Anuais, Mensais e Diários"/>
    <tableColumn id="3" xr3:uid="{00000000-0010-0000-5C00-000003000000}" name="Comentário"/>
    <tableColumn id="4" xr3:uid="{00000000-0010-0000-5C00-000004000000}" name="Valor" totalsRowFunction="custom">
      <totalsRowFormula>TRUNC((SUM(D70:D72)),2)</totalsRowFormula>
    </tableColumn>
  </tableColumns>
  <tableStyleInfo showFirstColumn="0" showLastColumn="0" showRowStripes="1" showColumnStripes="0"/>
</table>
</file>

<file path=xl/tables/table9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0" xr:uid="{00000000-000C-0000-FFFF-FFFF5D000000}" name="ResumoMódulo461" displayName="ResumoMódulo461" ref="A107:D110" totalsRowCount="1">
  <autoFilter ref="A107:D109" xr:uid="{00000000-0009-0000-0100-00003C000000}"/>
  <tableColumns count="4">
    <tableColumn id="1" xr3:uid="{00000000-0010-0000-5D00-000001000000}" name="4" totalsRowLabel="Total"/>
    <tableColumn id="2" xr3:uid="{00000000-0010-0000-5D00-000002000000}" name="Custo de Reposição do Profissional Ausente"/>
    <tableColumn id="3" xr3:uid="{00000000-0010-0000-5D00-000003000000}" name="Comentário" totalsRowLabel="*Nota: Se o titular USUFRUIR do descanso intrajornada, o total é o somatório dos subitens 4.1 e 4.2"/>
    <tableColumn id="4" xr3:uid="{00000000-0010-0000-5D00-000004000000}" name="Valor" totalsRowFunction="custom">
      <totalsRowFormula>TRUNC((SUM(D108:D109)),2)</totalsRowFormula>
    </tableColumn>
  </tableColumns>
  <tableStyleInfo showFirstColumn="0" showLastColumn="0" showRowStripes="1" showColumnStripes="0"/>
</table>
</file>

<file path=xl/tables/table9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1" xr:uid="{00000000-000C-0000-FFFF-FFFF5E000000}" name="ResumoPosto64" displayName="ResumoPosto64" ref="A140:D148" totalsRowShown="0">
  <autoFilter ref="A140:D148" xr:uid="{00000000-0009-0000-0100-000047000000}"/>
  <tableColumns count="4">
    <tableColumn id="1" xr3:uid="{00000000-0010-0000-5E00-000001000000}" name="Item"/>
    <tableColumn id="2" xr3:uid="{00000000-0010-0000-5E00-000002000000}" name="Mão de obra vinculada à execução contratual"/>
    <tableColumn id="3" xr3:uid="{00000000-0010-0000-5E00-000003000000}" name="-"/>
    <tableColumn id="4" xr3:uid="{00000000-0010-0000-5E00-000004000000}" name="Valor"/>
  </tableColumns>
  <tableStyleInfo showFirstColumn="0" showLastColumn="0" showRowStripes="1" showColumnStripes="0"/>
</table>
</file>

<file path=xl/tables/table9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2" xr:uid="{00000000-000C-0000-FFFF-FFFF5F000000}" name="Submódulo2.154" displayName="Submódulo2.154" ref="A36:D39" totalsRowCount="1">
  <autoFilter ref="A36:D38" xr:uid="{00000000-0009-0000-0100-000052000000}"/>
  <tableColumns count="4">
    <tableColumn id="1" xr3:uid="{00000000-0010-0000-5F00-000001000000}" name="2.1" totalsRowLabel="Total"/>
    <tableColumn id="2" xr3:uid="{00000000-0010-0000-5F00-000002000000}" name="13º (décimo terceiro) Salário, Férias e Adicional de Férias"/>
    <tableColumn id="3" xr3:uid="{00000000-0010-0000-5F00-000003000000}" name="Percentual"/>
    <tableColumn id="4" xr3:uid="{00000000-0010-0000-5F00-000004000000}" name="Valor" totalsRowFunction="custom">
      <totalsRowFormula>TRUNC((SUM(D37:D38)),2)</totalsRowFormula>
    </tableColumn>
  </tableColumns>
  <tableStyleInfo showFirstColumn="0" showLastColumn="0" showRowStripes="1" showColumnStripes="0"/>
</table>
</file>

<file path=xl/tables/table9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3" xr:uid="{00000000-000C-0000-FFFF-FFFF60000000}" name="Submódulo2.255" displayName="Submódulo2.255" ref="A46:D55" totalsRowCount="1">
  <autoFilter ref="A46:D54" xr:uid="{00000000-0009-0000-0100-00005D000000}"/>
  <tableColumns count="4">
    <tableColumn id="1" xr3:uid="{00000000-0010-0000-6000-000001000000}" name="2.2" totalsRowLabel="Total" totalsRowDxfId="63"/>
    <tableColumn id="2" xr3:uid="{00000000-0010-0000-6000-000002000000}" name="GPS, FGTS e outras contribuições"/>
    <tableColumn id="3" xr3:uid="{00000000-0010-0000-6000-000003000000}" name="Percentual" totalsRowFunction="custom" totalsRowDxfId="62">
      <totalsRowFormula>SUM(C47:C54)</totalsRowFormula>
    </tableColumn>
    <tableColumn id="4" xr3:uid="{00000000-0010-0000-6000-000004000000}" name="Valor " totalsRowFunction="custom" totalsRowDxfId="61">
      <totalsRowFormula>TRUNC((SUM(D47:D54)),2)</totalsRowFormula>
    </tableColumn>
  </tableColumns>
  <tableStyleInfo showFirstColumn="0" showLastColumn="0" showRowStripes="1" showColumnStripes="0"/>
</table>
</file>

<file path=xl/tables/table9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4" xr:uid="{00000000-000C-0000-FFFF-FFFF61000000}" name="Submódulo2.356" displayName="Submódulo2.356" ref="A58:D66" totalsRowCount="1">
  <autoFilter ref="A58:D65" xr:uid="{00000000-0009-0000-0100-000068000000}"/>
  <tableColumns count="4">
    <tableColumn id="1" xr3:uid="{00000000-0010-0000-6100-000001000000}" name="2.3" totalsRowLabel="Total" totalsRowDxfId="60"/>
    <tableColumn id="2" xr3:uid="{00000000-0010-0000-6100-000002000000}" name="Benefícios Mensais e Diários"/>
    <tableColumn id="3" xr3:uid="{00000000-0010-0000-6100-000003000000}" name="Comentário"/>
    <tableColumn id="4" xr3:uid="{00000000-0010-0000-6100-000004000000}" name="Valor" totalsRowFunction="custom" totalsRowDxfId="59">
      <totalsRowFormula>TRUNC((SUM(D59:D65)),2)</totalsRowFormula>
    </tableColumn>
  </tableColumns>
  <tableStyleInfo showFirstColumn="0" showLastColumn="0" showRowStripes="1" showColumnStripes="0"/>
</table>
</file>

<file path=xl/tables/table9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5" xr:uid="{00000000-000C-0000-FFFF-FFFF62000000}" name="Submódulo4.159" displayName="Submódulo4.159" ref="A92:D99" totalsRowCount="1">
  <autoFilter ref="A92:D98" xr:uid="{00000000-0009-0000-0100-000073000000}"/>
  <tableColumns count="4">
    <tableColumn id="1" xr3:uid="{00000000-0010-0000-6200-000001000000}" name="4.1" totalsRowLabel="Total"/>
    <tableColumn id="2" xr3:uid="{00000000-0010-0000-6200-000002000000}" name="Substituto nas Ausências Legais"/>
    <tableColumn id="3" xr3:uid="{00000000-0010-0000-6200-000003000000}" name="Percentual" totalsRowFunction="sum"/>
    <tableColumn id="4" xr3:uid="{00000000-0010-0000-6200-000004000000}" name="Valor" totalsRowFunction="custom">
      <totalsRowFormula>TRUNC((SUM(D93:D98)),2)</totalsRowFormula>
    </tableColumn>
  </tableColumns>
  <tableStyleInfo showFirstColumn="0" showLastColumn="0" showRowStripes="1" showColumnStripes="0"/>
</table>
</file>

<file path=xl/theme/theme1.xml><?xml version="1.0" encoding="utf-8"?>
<a:theme xmlns:a="http://schemas.openxmlformats.org/drawingml/2006/main" name="Offic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majorFont>
      <a:minorFont>
        <a:latin typeface="Calibri"/>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table" Target="../tables/table108.xml"/><Relationship Id="rId13" Type="http://schemas.openxmlformats.org/officeDocument/2006/relationships/table" Target="../tables/table113.xml"/><Relationship Id="rId3" Type="http://schemas.openxmlformats.org/officeDocument/2006/relationships/table" Target="../tables/table103.xml"/><Relationship Id="rId7" Type="http://schemas.openxmlformats.org/officeDocument/2006/relationships/table" Target="../tables/table107.xml"/><Relationship Id="rId12" Type="http://schemas.openxmlformats.org/officeDocument/2006/relationships/table" Target="../tables/table112.xml"/><Relationship Id="rId2" Type="http://schemas.openxmlformats.org/officeDocument/2006/relationships/table" Target="../tables/table102.xml"/><Relationship Id="rId1" Type="http://schemas.openxmlformats.org/officeDocument/2006/relationships/printerSettings" Target="../printerSettings/printerSettings10.bin"/><Relationship Id="rId6" Type="http://schemas.openxmlformats.org/officeDocument/2006/relationships/table" Target="../tables/table106.xml"/><Relationship Id="rId11" Type="http://schemas.openxmlformats.org/officeDocument/2006/relationships/table" Target="../tables/table111.xml"/><Relationship Id="rId5" Type="http://schemas.openxmlformats.org/officeDocument/2006/relationships/table" Target="../tables/table105.xml"/><Relationship Id="rId10" Type="http://schemas.openxmlformats.org/officeDocument/2006/relationships/table" Target="../tables/table110.xml"/><Relationship Id="rId4" Type="http://schemas.openxmlformats.org/officeDocument/2006/relationships/table" Target="../tables/table104.xml"/><Relationship Id="rId9" Type="http://schemas.openxmlformats.org/officeDocument/2006/relationships/table" Target="../tables/table109.xml"/><Relationship Id="rId14" Type="http://schemas.openxmlformats.org/officeDocument/2006/relationships/table" Target="../tables/table114.xml"/></Relationships>
</file>

<file path=xl/worksheets/_rels/sheet11.xml.rels><?xml version="1.0" encoding="UTF-8" standalone="yes"?>
<Relationships xmlns="http://schemas.openxmlformats.org/package/2006/relationships"><Relationship Id="rId8" Type="http://schemas.openxmlformats.org/officeDocument/2006/relationships/table" Target="../tables/table121.xml"/><Relationship Id="rId13" Type="http://schemas.openxmlformats.org/officeDocument/2006/relationships/table" Target="../tables/table126.xml"/><Relationship Id="rId3" Type="http://schemas.openxmlformats.org/officeDocument/2006/relationships/table" Target="../tables/table116.xml"/><Relationship Id="rId7" Type="http://schemas.openxmlformats.org/officeDocument/2006/relationships/table" Target="../tables/table120.xml"/><Relationship Id="rId12" Type="http://schemas.openxmlformats.org/officeDocument/2006/relationships/table" Target="../tables/table125.xml"/><Relationship Id="rId2" Type="http://schemas.openxmlformats.org/officeDocument/2006/relationships/table" Target="../tables/table115.xml"/><Relationship Id="rId1" Type="http://schemas.openxmlformats.org/officeDocument/2006/relationships/printerSettings" Target="../printerSettings/printerSettings11.bin"/><Relationship Id="rId6" Type="http://schemas.openxmlformats.org/officeDocument/2006/relationships/table" Target="../tables/table119.xml"/><Relationship Id="rId11" Type="http://schemas.openxmlformats.org/officeDocument/2006/relationships/table" Target="../tables/table124.xml"/><Relationship Id="rId5" Type="http://schemas.openxmlformats.org/officeDocument/2006/relationships/table" Target="../tables/table118.xml"/><Relationship Id="rId10" Type="http://schemas.openxmlformats.org/officeDocument/2006/relationships/table" Target="../tables/table123.xml"/><Relationship Id="rId4" Type="http://schemas.openxmlformats.org/officeDocument/2006/relationships/table" Target="../tables/table117.xml"/><Relationship Id="rId9" Type="http://schemas.openxmlformats.org/officeDocument/2006/relationships/table" Target="../tables/table122.xml"/><Relationship Id="rId14" Type="http://schemas.openxmlformats.org/officeDocument/2006/relationships/table" Target="../tables/table127.xml"/></Relationships>
</file>

<file path=xl/worksheets/_rels/sheet12.xml.rels><?xml version="1.0" encoding="UTF-8" standalone="yes"?>
<Relationships xmlns="http://schemas.openxmlformats.org/package/2006/relationships"><Relationship Id="rId8" Type="http://schemas.openxmlformats.org/officeDocument/2006/relationships/table" Target="../tables/table134.xml"/><Relationship Id="rId13" Type="http://schemas.openxmlformats.org/officeDocument/2006/relationships/table" Target="../tables/table139.xml"/><Relationship Id="rId3" Type="http://schemas.openxmlformats.org/officeDocument/2006/relationships/table" Target="../tables/table129.xml"/><Relationship Id="rId7" Type="http://schemas.openxmlformats.org/officeDocument/2006/relationships/table" Target="../tables/table133.xml"/><Relationship Id="rId12" Type="http://schemas.openxmlformats.org/officeDocument/2006/relationships/table" Target="../tables/table138.xml"/><Relationship Id="rId2" Type="http://schemas.openxmlformats.org/officeDocument/2006/relationships/table" Target="../tables/table128.xml"/><Relationship Id="rId1" Type="http://schemas.openxmlformats.org/officeDocument/2006/relationships/printerSettings" Target="../printerSettings/printerSettings12.bin"/><Relationship Id="rId6" Type="http://schemas.openxmlformats.org/officeDocument/2006/relationships/table" Target="../tables/table132.xml"/><Relationship Id="rId11" Type="http://schemas.openxmlformats.org/officeDocument/2006/relationships/table" Target="../tables/table137.xml"/><Relationship Id="rId5" Type="http://schemas.openxmlformats.org/officeDocument/2006/relationships/table" Target="../tables/table131.xml"/><Relationship Id="rId10" Type="http://schemas.openxmlformats.org/officeDocument/2006/relationships/table" Target="../tables/table136.xml"/><Relationship Id="rId4" Type="http://schemas.openxmlformats.org/officeDocument/2006/relationships/table" Target="../tables/table130.xml"/><Relationship Id="rId9" Type="http://schemas.openxmlformats.org/officeDocument/2006/relationships/table" Target="../tables/table135.xml"/><Relationship Id="rId14" Type="http://schemas.openxmlformats.org/officeDocument/2006/relationships/table" Target="../tables/table140.xml"/></Relationships>
</file>

<file path=xl/worksheets/_rels/sheet13.xml.rels><?xml version="1.0" encoding="UTF-8" standalone="yes"?>
<Relationships xmlns="http://schemas.openxmlformats.org/package/2006/relationships"><Relationship Id="rId8" Type="http://schemas.openxmlformats.org/officeDocument/2006/relationships/table" Target="../tables/table147.xml"/><Relationship Id="rId13" Type="http://schemas.openxmlformats.org/officeDocument/2006/relationships/table" Target="../tables/table152.xml"/><Relationship Id="rId3" Type="http://schemas.openxmlformats.org/officeDocument/2006/relationships/table" Target="../tables/table142.xml"/><Relationship Id="rId7" Type="http://schemas.openxmlformats.org/officeDocument/2006/relationships/table" Target="../tables/table146.xml"/><Relationship Id="rId12" Type="http://schemas.openxmlformats.org/officeDocument/2006/relationships/table" Target="../tables/table151.xml"/><Relationship Id="rId2" Type="http://schemas.openxmlformats.org/officeDocument/2006/relationships/table" Target="../tables/table141.xml"/><Relationship Id="rId1" Type="http://schemas.openxmlformats.org/officeDocument/2006/relationships/printerSettings" Target="../printerSettings/printerSettings13.bin"/><Relationship Id="rId6" Type="http://schemas.openxmlformats.org/officeDocument/2006/relationships/table" Target="../tables/table145.xml"/><Relationship Id="rId11" Type="http://schemas.openxmlformats.org/officeDocument/2006/relationships/table" Target="../tables/table150.xml"/><Relationship Id="rId5" Type="http://schemas.openxmlformats.org/officeDocument/2006/relationships/table" Target="../tables/table144.xml"/><Relationship Id="rId10" Type="http://schemas.openxmlformats.org/officeDocument/2006/relationships/table" Target="../tables/table149.xml"/><Relationship Id="rId4" Type="http://schemas.openxmlformats.org/officeDocument/2006/relationships/table" Target="../tables/table143.xml"/><Relationship Id="rId9" Type="http://schemas.openxmlformats.org/officeDocument/2006/relationships/table" Target="../tables/table148.xml"/><Relationship Id="rId14" Type="http://schemas.openxmlformats.org/officeDocument/2006/relationships/table" Target="../tables/table153.xml"/></Relationships>
</file>

<file path=xl/worksheets/_rels/sheet14.xml.rels><?xml version="1.0" encoding="UTF-8" standalone="yes"?>
<Relationships xmlns="http://schemas.openxmlformats.org/package/2006/relationships"><Relationship Id="rId3" Type="http://schemas.openxmlformats.org/officeDocument/2006/relationships/table" Target="../tables/table155.xml"/><Relationship Id="rId2" Type="http://schemas.openxmlformats.org/officeDocument/2006/relationships/table" Target="../tables/table154.xml"/><Relationship Id="rId1" Type="http://schemas.openxmlformats.org/officeDocument/2006/relationships/printerSettings" Target="../printerSettings/printerSettings14.bin"/><Relationship Id="rId4" Type="http://schemas.openxmlformats.org/officeDocument/2006/relationships/table" Target="../tables/table156.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8" Type="http://schemas.openxmlformats.org/officeDocument/2006/relationships/table" Target="../tables/table6.xml"/><Relationship Id="rId13" Type="http://schemas.openxmlformats.org/officeDocument/2006/relationships/table" Target="../tables/table11.xml"/><Relationship Id="rId18" Type="http://schemas.openxmlformats.org/officeDocument/2006/relationships/table" Target="../tables/table16.xml"/><Relationship Id="rId3" Type="http://schemas.openxmlformats.org/officeDocument/2006/relationships/table" Target="../tables/table1.xml"/><Relationship Id="rId21" Type="http://schemas.openxmlformats.org/officeDocument/2006/relationships/table" Target="../tables/table19.xml"/><Relationship Id="rId7" Type="http://schemas.openxmlformats.org/officeDocument/2006/relationships/table" Target="../tables/table5.xml"/><Relationship Id="rId12" Type="http://schemas.openxmlformats.org/officeDocument/2006/relationships/table" Target="../tables/table10.xml"/><Relationship Id="rId17" Type="http://schemas.openxmlformats.org/officeDocument/2006/relationships/table" Target="../tables/table15.xml"/><Relationship Id="rId25" Type="http://schemas.openxmlformats.org/officeDocument/2006/relationships/comments" Target="../comments1.xml"/><Relationship Id="rId2" Type="http://schemas.openxmlformats.org/officeDocument/2006/relationships/vmlDrawing" Target="../drawings/vmlDrawing1.vml"/><Relationship Id="rId16" Type="http://schemas.openxmlformats.org/officeDocument/2006/relationships/table" Target="../tables/table14.xml"/><Relationship Id="rId20" Type="http://schemas.openxmlformats.org/officeDocument/2006/relationships/table" Target="../tables/table18.xml"/><Relationship Id="rId1" Type="http://schemas.openxmlformats.org/officeDocument/2006/relationships/printerSettings" Target="../printerSettings/printerSettings2.bin"/><Relationship Id="rId6" Type="http://schemas.openxmlformats.org/officeDocument/2006/relationships/table" Target="../tables/table4.xml"/><Relationship Id="rId11" Type="http://schemas.openxmlformats.org/officeDocument/2006/relationships/table" Target="../tables/table9.xml"/><Relationship Id="rId24" Type="http://schemas.openxmlformats.org/officeDocument/2006/relationships/table" Target="../tables/table22.xml"/><Relationship Id="rId5" Type="http://schemas.openxmlformats.org/officeDocument/2006/relationships/table" Target="../tables/table3.xml"/><Relationship Id="rId15" Type="http://schemas.openxmlformats.org/officeDocument/2006/relationships/table" Target="../tables/table13.xml"/><Relationship Id="rId23" Type="http://schemas.openxmlformats.org/officeDocument/2006/relationships/table" Target="../tables/table21.xml"/><Relationship Id="rId10" Type="http://schemas.openxmlformats.org/officeDocument/2006/relationships/table" Target="../tables/table8.xml"/><Relationship Id="rId19" Type="http://schemas.openxmlformats.org/officeDocument/2006/relationships/table" Target="../tables/table17.xml"/><Relationship Id="rId4" Type="http://schemas.openxmlformats.org/officeDocument/2006/relationships/table" Target="../tables/table2.xml"/><Relationship Id="rId9" Type="http://schemas.openxmlformats.org/officeDocument/2006/relationships/table" Target="../tables/table7.xml"/><Relationship Id="rId14" Type="http://schemas.openxmlformats.org/officeDocument/2006/relationships/table" Target="../tables/table12.xml"/><Relationship Id="rId22" Type="http://schemas.openxmlformats.org/officeDocument/2006/relationships/table" Target="../tables/table20.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table" Target="../tables/table30.xml"/><Relationship Id="rId13" Type="http://schemas.openxmlformats.org/officeDocument/2006/relationships/table" Target="../tables/table35.xml"/><Relationship Id="rId3" Type="http://schemas.openxmlformats.org/officeDocument/2006/relationships/table" Target="../tables/table25.xml"/><Relationship Id="rId7" Type="http://schemas.openxmlformats.org/officeDocument/2006/relationships/table" Target="../tables/table29.xml"/><Relationship Id="rId12" Type="http://schemas.openxmlformats.org/officeDocument/2006/relationships/table" Target="../tables/table34.xml"/><Relationship Id="rId2" Type="http://schemas.openxmlformats.org/officeDocument/2006/relationships/table" Target="../tables/table24.xml"/><Relationship Id="rId1" Type="http://schemas.openxmlformats.org/officeDocument/2006/relationships/printerSettings" Target="../printerSettings/printerSettings4.bin"/><Relationship Id="rId6" Type="http://schemas.openxmlformats.org/officeDocument/2006/relationships/table" Target="../tables/table28.xml"/><Relationship Id="rId11" Type="http://schemas.openxmlformats.org/officeDocument/2006/relationships/table" Target="../tables/table33.xml"/><Relationship Id="rId5" Type="http://schemas.openxmlformats.org/officeDocument/2006/relationships/table" Target="../tables/table27.xml"/><Relationship Id="rId10" Type="http://schemas.openxmlformats.org/officeDocument/2006/relationships/table" Target="../tables/table32.xml"/><Relationship Id="rId4" Type="http://schemas.openxmlformats.org/officeDocument/2006/relationships/table" Target="../tables/table26.xml"/><Relationship Id="rId9" Type="http://schemas.openxmlformats.org/officeDocument/2006/relationships/table" Target="../tables/table31.xml"/><Relationship Id="rId14" Type="http://schemas.openxmlformats.org/officeDocument/2006/relationships/table" Target="../tables/table36.xml"/></Relationships>
</file>

<file path=xl/worksheets/_rels/sheet5.xml.rels><?xml version="1.0" encoding="UTF-8" standalone="yes"?>
<Relationships xmlns="http://schemas.openxmlformats.org/package/2006/relationships"><Relationship Id="rId8" Type="http://schemas.openxmlformats.org/officeDocument/2006/relationships/table" Target="../tables/table43.xml"/><Relationship Id="rId13" Type="http://schemas.openxmlformats.org/officeDocument/2006/relationships/table" Target="../tables/table48.xml"/><Relationship Id="rId3" Type="http://schemas.openxmlformats.org/officeDocument/2006/relationships/table" Target="../tables/table38.xml"/><Relationship Id="rId7" Type="http://schemas.openxmlformats.org/officeDocument/2006/relationships/table" Target="../tables/table42.xml"/><Relationship Id="rId12" Type="http://schemas.openxmlformats.org/officeDocument/2006/relationships/table" Target="../tables/table47.xml"/><Relationship Id="rId2" Type="http://schemas.openxmlformats.org/officeDocument/2006/relationships/table" Target="../tables/table37.xml"/><Relationship Id="rId1" Type="http://schemas.openxmlformats.org/officeDocument/2006/relationships/printerSettings" Target="../printerSettings/printerSettings5.bin"/><Relationship Id="rId6" Type="http://schemas.openxmlformats.org/officeDocument/2006/relationships/table" Target="../tables/table41.xml"/><Relationship Id="rId11" Type="http://schemas.openxmlformats.org/officeDocument/2006/relationships/table" Target="../tables/table46.xml"/><Relationship Id="rId5" Type="http://schemas.openxmlformats.org/officeDocument/2006/relationships/table" Target="../tables/table40.xml"/><Relationship Id="rId10" Type="http://schemas.openxmlformats.org/officeDocument/2006/relationships/table" Target="../tables/table45.xml"/><Relationship Id="rId4" Type="http://schemas.openxmlformats.org/officeDocument/2006/relationships/table" Target="../tables/table39.xml"/><Relationship Id="rId9" Type="http://schemas.openxmlformats.org/officeDocument/2006/relationships/table" Target="../tables/table44.xml"/><Relationship Id="rId14" Type="http://schemas.openxmlformats.org/officeDocument/2006/relationships/table" Target="../tables/table49.xml"/></Relationships>
</file>

<file path=xl/worksheets/_rels/sheet6.xml.rels><?xml version="1.0" encoding="UTF-8" standalone="yes"?>
<Relationships xmlns="http://schemas.openxmlformats.org/package/2006/relationships"><Relationship Id="rId8" Type="http://schemas.openxmlformats.org/officeDocument/2006/relationships/table" Target="../tables/table56.xml"/><Relationship Id="rId13" Type="http://schemas.openxmlformats.org/officeDocument/2006/relationships/table" Target="../tables/table61.xml"/><Relationship Id="rId3" Type="http://schemas.openxmlformats.org/officeDocument/2006/relationships/table" Target="../tables/table51.xml"/><Relationship Id="rId7" Type="http://schemas.openxmlformats.org/officeDocument/2006/relationships/table" Target="../tables/table55.xml"/><Relationship Id="rId12" Type="http://schemas.openxmlformats.org/officeDocument/2006/relationships/table" Target="../tables/table60.xml"/><Relationship Id="rId2" Type="http://schemas.openxmlformats.org/officeDocument/2006/relationships/table" Target="../tables/table50.xml"/><Relationship Id="rId1" Type="http://schemas.openxmlformats.org/officeDocument/2006/relationships/printerSettings" Target="../printerSettings/printerSettings6.bin"/><Relationship Id="rId6" Type="http://schemas.openxmlformats.org/officeDocument/2006/relationships/table" Target="../tables/table54.xml"/><Relationship Id="rId11" Type="http://schemas.openxmlformats.org/officeDocument/2006/relationships/table" Target="../tables/table59.xml"/><Relationship Id="rId5" Type="http://schemas.openxmlformats.org/officeDocument/2006/relationships/table" Target="../tables/table53.xml"/><Relationship Id="rId10" Type="http://schemas.openxmlformats.org/officeDocument/2006/relationships/table" Target="../tables/table58.xml"/><Relationship Id="rId4" Type="http://schemas.openxmlformats.org/officeDocument/2006/relationships/table" Target="../tables/table52.xml"/><Relationship Id="rId9" Type="http://schemas.openxmlformats.org/officeDocument/2006/relationships/table" Target="../tables/table57.xml"/><Relationship Id="rId14" Type="http://schemas.openxmlformats.org/officeDocument/2006/relationships/table" Target="../tables/table62.xml"/></Relationships>
</file>

<file path=xl/worksheets/_rels/sheet7.xml.rels><?xml version="1.0" encoding="UTF-8" standalone="yes"?>
<Relationships xmlns="http://schemas.openxmlformats.org/package/2006/relationships"><Relationship Id="rId8" Type="http://schemas.openxmlformats.org/officeDocument/2006/relationships/table" Target="../tables/table69.xml"/><Relationship Id="rId13" Type="http://schemas.openxmlformats.org/officeDocument/2006/relationships/table" Target="../tables/table74.xml"/><Relationship Id="rId3" Type="http://schemas.openxmlformats.org/officeDocument/2006/relationships/table" Target="../tables/table64.xml"/><Relationship Id="rId7" Type="http://schemas.openxmlformats.org/officeDocument/2006/relationships/table" Target="../tables/table68.xml"/><Relationship Id="rId12" Type="http://schemas.openxmlformats.org/officeDocument/2006/relationships/table" Target="../tables/table73.xml"/><Relationship Id="rId2" Type="http://schemas.openxmlformats.org/officeDocument/2006/relationships/table" Target="../tables/table63.xml"/><Relationship Id="rId1" Type="http://schemas.openxmlformats.org/officeDocument/2006/relationships/printerSettings" Target="../printerSettings/printerSettings7.bin"/><Relationship Id="rId6" Type="http://schemas.openxmlformats.org/officeDocument/2006/relationships/table" Target="../tables/table67.xml"/><Relationship Id="rId11" Type="http://schemas.openxmlformats.org/officeDocument/2006/relationships/table" Target="../tables/table72.xml"/><Relationship Id="rId5" Type="http://schemas.openxmlformats.org/officeDocument/2006/relationships/table" Target="../tables/table66.xml"/><Relationship Id="rId10" Type="http://schemas.openxmlformats.org/officeDocument/2006/relationships/table" Target="../tables/table71.xml"/><Relationship Id="rId4" Type="http://schemas.openxmlformats.org/officeDocument/2006/relationships/table" Target="../tables/table65.xml"/><Relationship Id="rId9" Type="http://schemas.openxmlformats.org/officeDocument/2006/relationships/table" Target="../tables/table70.xml"/><Relationship Id="rId14" Type="http://schemas.openxmlformats.org/officeDocument/2006/relationships/table" Target="../tables/table75.xml"/></Relationships>
</file>

<file path=xl/worksheets/_rels/sheet8.xml.rels><?xml version="1.0" encoding="UTF-8" standalone="yes"?>
<Relationships xmlns="http://schemas.openxmlformats.org/package/2006/relationships"><Relationship Id="rId8" Type="http://schemas.openxmlformats.org/officeDocument/2006/relationships/table" Target="../tables/table82.xml"/><Relationship Id="rId13" Type="http://schemas.openxmlformats.org/officeDocument/2006/relationships/table" Target="../tables/table87.xml"/><Relationship Id="rId3" Type="http://schemas.openxmlformats.org/officeDocument/2006/relationships/table" Target="../tables/table77.xml"/><Relationship Id="rId7" Type="http://schemas.openxmlformats.org/officeDocument/2006/relationships/table" Target="../tables/table81.xml"/><Relationship Id="rId12" Type="http://schemas.openxmlformats.org/officeDocument/2006/relationships/table" Target="../tables/table86.xml"/><Relationship Id="rId2" Type="http://schemas.openxmlformats.org/officeDocument/2006/relationships/table" Target="../tables/table76.xml"/><Relationship Id="rId1" Type="http://schemas.openxmlformats.org/officeDocument/2006/relationships/printerSettings" Target="../printerSettings/printerSettings8.bin"/><Relationship Id="rId6" Type="http://schemas.openxmlformats.org/officeDocument/2006/relationships/table" Target="../tables/table80.xml"/><Relationship Id="rId11" Type="http://schemas.openxmlformats.org/officeDocument/2006/relationships/table" Target="../tables/table85.xml"/><Relationship Id="rId5" Type="http://schemas.openxmlformats.org/officeDocument/2006/relationships/table" Target="../tables/table79.xml"/><Relationship Id="rId10" Type="http://schemas.openxmlformats.org/officeDocument/2006/relationships/table" Target="../tables/table84.xml"/><Relationship Id="rId4" Type="http://schemas.openxmlformats.org/officeDocument/2006/relationships/table" Target="../tables/table78.xml"/><Relationship Id="rId9" Type="http://schemas.openxmlformats.org/officeDocument/2006/relationships/table" Target="../tables/table83.xml"/><Relationship Id="rId14" Type="http://schemas.openxmlformats.org/officeDocument/2006/relationships/table" Target="../tables/table88.xml"/></Relationships>
</file>

<file path=xl/worksheets/_rels/sheet9.xml.rels><?xml version="1.0" encoding="UTF-8" standalone="yes"?>
<Relationships xmlns="http://schemas.openxmlformats.org/package/2006/relationships"><Relationship Id="rId8" Type="http://schemas.openxmlformats.org/officeDocument/2006/relationships/table" Target="../tables/table95.xml"/><Relationship Id="rId13" Type="http://schemas.openxmlformats.org/officeDocument/2006/relationships/table" Target="../tables/table100.xml"/><Relationship Id="rId3" Type="http://schemas.openxmlformats.org/officeDocument/2006/relationships/table" Target="../tables/table90.xml"/><Relationship Id="rId7" Type="http://schemas.openxmlformats.org/officeDocument/2006/relationships/table" Target="../tables/table94.xml"/><Relationship Id="rId12" Type="http://schemas.openxmlformats.org/officeDocument/2006/relationships/table" Target="../tables/table99.xml"/><Relationship Id="rId2" Type="http://schemas.openxmlformats.org/officeDocument/2006/relationships/table" Target="../tables/table89.xml"/><Relationship Id="rId1" Type="http://schemas.openxmlformats.org/officeDocument/2006/relationships/printerSettings" Target="../printerSettings/printerSettings9.bin"/><Relationship Id="rId6" Type="http://schemas.openxmlformats.org/officeDocument/2006/relationships/table" Target="../tables/table93.xml"/><Relationship Id="rId11" Type="http://schemas.openxmlformats.org/officeDocument/2006/relationships/table" Target="../tables/table98.xml"/><Relationship Id="rId5" Type="http://schemas.openxmlformats.org/officeDocument/2006/relationships/table" Target="../tables/table92.xml"/><Relationship Id="rId10" Type="http://schemas.openxmlformats.org/officeDocument/2006/relationships/table" Target="../tables/table97.xml"/><Relationship Id="rId4" Type="http://schemas.openxmlformats.org/officeDocument/2006/relationships/table" Target="../tables/table91.xml"/><Relationship Id="rId9" Type="http://schemas.openxmlformats.org/officeDocument/2006/relationships/table" Target="../tables/table96.xml"/><Relationship Id="rId14" Type="http://schemas.openxmlformats.org/officeDocument/2006/relationships/table" Target="../tables/table10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4"/>
  <sheetViews>
    <sheetView showGridLines="0" view="pageBreakPreview" zoomScaleNormal="100" workbookViewId="0"/>
  </sheetViews>
  <sheetFormatPr defaultColWidth="9" defaultRowHeight="15"/>
  <sheetData>
    <row r="1" spans="1:11">
      <c r="A1" s="182" t="s">
        <v>0</v>
      </c>
      <c r="B1" s="182"/>
      <c r="C1" s="182"/>
      <c r="D1" s="182"/>
      <c r="E1" s="182"/>
      <c r="F1" s="182"/>
      <c r="G1" s="182"/>
      <c r="H1" s="182"/>
      <c r="I1" s="182"/>
      <c r="J1" s="182"/>
      <c r="K1" s="182"/>
    </row>
    <row r="2" spans="1:11" ht="57" customHeight="1">
      <c r="A2" s="183" t="s">
        <v>1</v>
      </c>
      <c r="B2" s="183"/>
      <c r="C2" s="183"/>
      <c r="D2" s="183"/>
      <c r="E2" s="183"/>
      <c r="F2" s="183"/>
      <c r="G2" s="183"/>
      <c r="H2" s="183"/>
      <c r="I2" s="183"/>
      <c r="J2" s="183"/>
      <c r="K2" s="183"/>
    </row>
    <row r="3" spans="1:11" ht="51" customHeight="1">
      <c r="A3" s="183" t="s">
        <v>2</v>
      </c>
      <c r="B3" s="183"/>
      <c r="C3" s="183"/>
      <c r="D3" s="183"/>
      <c r="E3" s="183"/>
      <c r="F3" s="183"/>
      <c r="G3" s="183"/>
      <c r="H3" s="183"/>
      <c r="I3" s="183"/>
      <c r="J3" s="183"/>
      <c r="K3" s="183"/>
    </row>
    <row r="4" spans="1:11" ht="54.75" customHeight="1">
      <c r="A4" s="184" t="s">
        <v>3</v>
      </c>
      <c r="B4" s="184"/>
      <c r="C4" s="184"/>
      <c r="D4" s="184"/>
      <c r="E4" s="184"/>
      <c r="F4" s="184"/>
      <c r="G4" s="184"/>
      <c r="H4" s="184"/>
      <c r="I4" s="184"/>
      <c r="J4" s="184"/>
      <c r="K4" s="184"/>
    </row>
    <row r="5" spans="1:11" ht="67.5" customHeight="1">
      <c r="A5" s="185" t="s">
        <v>4</v>
      </c>
      <c r="B5" s="185"/>
      <c r="C5" s="185"/>
      <c r="D5" s="185"/>
      <c r="E5" s="185"/>
      <c r="F5" s="185"/>
      <c r="G5" s="185"/>
      <c r="H5" s="185"/>
      <c r="I5" s="185"/>
      <c r="J5" s="185"/>
      <c r="K5" s="185"/>
    </row>
    <row r="6" spans="1:11" ht="84.75" customHeight="1">
      <c r="A6" s="185" t="s">
        <v>5</v>
      </c>
      <c r="B6" s="185"/>
      <c r="C6" s="185"/>
      <c r="D6" s="185"/>
      <c r="E6" s="185"/>
      <c r="F6" s="185"/>
      <c r="G6" s="185"/>
      <c r="H6" s="185"/>
      <c r="I6" s="185"/>
      <c r="J6" s="185"/>
      <c r="K6" s="185"/>
    </row>
    <row r="7" spans="1:11" ht="49.5" customHeight="1">
      <c r="A7" s="185" t="s">
        <v>6</v>
      </c>
      <c r="B7" s="185"/>
      <c r="C7" s="185"/>
      <c r="D7" s="185"/>
      <c r="E7" s="185"/>
      <c r="F7" s="185"/>
      <c r="G7" s="185"/>
      <c r="H7" s="185"/>
      <c r="I7" s="185"/>
      <c r="J7" s="185"/>
      <c r="K7" s="185"/>
    </row>
    <row r="8" spans="1:11" ht="38.25" customHeight="1">
      <c r="A8" s="185" t="s">
        <v>7</v>
      </c>
      <c r="B8" s="185"/>
      <c r="C8" s="185"/>
      <c r="D8" s="185"/>
      <c r="E8" s="185"/>
      <c r="F8" s="185"/>
      <c r="G8" s="185"/>
      <c r="H8" s="185"/>
      <c r="I8" s="185"/>
      <c r="J8" s="185"/>
      <c r="K8" s="185"/>
    </row>
    <row r="9" spans="1:11" ht="39.75" customHeight="1">
      <c r="A9" s="183" t="s">
        <v>8</v>
      </c>
      <c r="B9" s="183"/>
      <c r="C9" s="183"/>
      <c r="D9" s="183"/>
      <c r="E9" s="183"/>
      <c r="F9" s="183"/>
      <c r="G9" s="183"/>
      <c r="H9" s="183"/>
      <c r="I9" s="183"/>
      <c r="J9" s="183"/>
      <c r="K9" s="183"/>
    </row>
    <row r="10" spans="1:11" ht="41.25" customHeight="1">
      <c r="A10" s="183" t="s">
        <v>9</v>
      </c>
      <c r="B10" s="183"/>
      <c r="C10" s="183"/>
      <c r="D10" s="183"/>
      <c r="E10" s="183"/>
      <c r="F10" s="183"/>
      <c r="G10" s="183"/>
      <c r="H10" s="183"/>
      <c r="I10" s="183"/>
      <c r="J10" s="183"/>
      <c r="K10" s="183"/>
    </row>
    <row r="11" spans="1:11" ht="41.25" customHeight="1">
      <c r="A11" s="186" t="s">
        <v>10</v>
      </c>
      <c r="B11" s="186"/>
      <c r="C11" s="186"/>
      <c r="D11" s="186"/>
      <c r="E11" s="186"/>
      <c r="F11" s="186"/>
      <c r="G11" s="186"/>
      <c r="H11" s="186"/>
      <c r="I11" s="186"/>
      <c r="J11" s="186"/>
      <c r="K11" s="186"/>
    </row>
    <row r="12" spans="1:11">
      <c r="A12" s="187" t="s">
        <v>11</v>
      </c>
      <c r="B12" s="187"/>
      <c r="C12" s="187"/>
      <c r="D12" s="187"/>
      <c r="E12" s="187"/>
      <c r="F12" s="187"/>
      <c r="G12" s="187"/>
      <c r="H12" s="187"/>
      <c r="I12" s="187"/>
      <c r="J12" s="187"/>
      <c r="K12" s="187"/>
    </row>
    <row r="13" spans="1:11">
      <c r="A13" s="188" t="s">
        <v>12</v>
      </c>
      <c r="B13" s="188"/>
      <c r="C13" s="188"/>
      <c r="D13" s="188"/>
      <c r="E13" s="188"/>
      <c r="F13" s="188"/>
      <c r="G13" s="188"/>
      <c r="H13" s="188"/>
      <c r="I13" s="188"/>
      <c r="J13" s="188"/>
      <c r="K13" s="188"/>
    </row>
    <row r="14" spans="1:11">
      <c r="A14" s="188" t="s">
        <v>13</v>
      </c>
      <c r="B14" s="188"/>
      <c r="C14" s="188"/>
      <c r="D14" s="188"/>
      <c r="E14" s="188"/>
      <c r="F14" s="188"/>
      <c r="G14" s="188"/>
      <c r="H14" s="188"/>
      <c r="I14" s="188"/>
      <c r="J14" s="188"/>
      <c r="K14" s="188"/>
    </row>
  </sheetData>
  <sheetProtection sheet="1" objects="1" scenarios="1"/>
  <mergeCells count="14">
    <mergeCell ref="A11:K11"/>
    <mergeCell ref="A12:K12"/>
    <mergeCell ref="A13:K13"/>
    <mergeCell ref="A14:K14"/>
    <mergeCell ref="A6:K6"/>
    <mergeCell ref="A7:K7"/>
    <mergeCell ref="A8:K8"/>
    <mergeCell ref="A9:K9"/>
    <mergeCell ref="A10:K10"/>
    <mergeCell ref="A1:K1"/>
    <mergeCell ref="A2:K2"/>
    <mergeCell ref="A3:K3"/>
    <mergeCell ref="A4:K4"/>
    <mergeCell ref="A5:K5"/>
  </mergeCells>
  <pageMargins left="0.7" right="0.7" top="0.75" bottom="0.75" header="0.511811023622047" footer="0.511811023622047"/>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K148"/>
  <sheetViews>
    <sheetView view="pageBreakPreview" topLeftCell="B115" zoomScaleNormal="100" workbookViewId="0">
      <selection activeCell="D14" sqref="D14"/>
    </sheetView>
  </sheetViews>
  <sheetFormatPr defaultColWidth="9.140625" defaultRowHeight="15"/>
  <cols>
    <col min="1" max="1" width="10.5703125" style="12" customWidth="1"/>
    <col min="2" max="2" width="54.28515625" customWidth="1"/>
    <col min="3" max="3" width="23.85546875" customWidth="1"/>
    <col min="4" max="4" width="41" customWidth="1"/>
    <col min="6" max="7" width="11.5703125" hidden="1" customWidth="1"/>
    <col min="8" max="8" width="22.85546875" customWidth="1"/>
    <col min="9" max="9" width="13.28515625" customWidth="1"/>
    <col min="10" max="10" width="12" customWidth="1"/>
    <col min="11" max="11" width="12.28515625" customWidth="1"/>
  </cols>
  <sheetData>
    <row r="2" spans="1:9" ht="18.75">
      <c r="A2" s="196" t="s">
        <v>194</v>
      </c>
      <c r="B2" s="196"/>
      <c r="C2" s="196"/>
      <c r="D2" s="196"/>
    </row>
    <row r="3" spans="1:9">
      <c r="A3" s="213" t="str">
        <f>Pedreiro!A3</f>
        <v>Processo Administrativo n.° 23324.000830.2025-46</v>
      </c>
      <c r="B3" s="213"/>
      <c r="C3" s="213"/>
      <c r="D3" s="213"/>
    </row>
    <row r="4" spans="1:9" ht="21" customHeight="1">
      <c r="A4" s="102" t="s">
        <v>195</v>
      </c>
      <c r="B4" s="103" t="s">
        <v>392</v>
      </c>
      <c r="C4" s="34"/>
      <c r="D4" s="34"/>
    </row>
    <row r="5" spans="1:9">
      <c r="A5" s="10"/>
      <c r="B5" s="36"/>
      <c r="C5" s="36"/>
      <c r="D5" s="36"/>
    </row>
    <row r="6" spans="1:9">
      <c r="A6" s="198" t="s">
        <v>196</v>
      </c>
      <c r="B6" s="198"/>
      <c r="C6" s="198"/>
      <c r="D6" s="198"/>
    </row>
    <row r="7" spans="1:9">
      <c r="A7" s="37" t="s">
        <v>42</v>
      </c>
      <c r="B7" s="38" t="s">
        <v>197</v>
      </c>
      <c r="C7" s="199" t="s">
        <v>268</v>
      </c>
      <c r="D7" s="199"/>
    </row>
    <row r="8" spans="1:9">
      <c r="A8" s="39" t="s">
        <v>45</v>
      </c>
      <c r="B8" s="40" t="s">
        <v>199</v>
      </c>
      <c r="C8" s="200" t="s">
        <v>200</v>
      </c>
      <c r="D8" s="200"/>
    </row>
    <row r="9" spans="1:9">
      <c r="A9" s="42" t="s">
        <v>48</v>
      </c>
      <c r="B9" s="43" t="s">
        <v>201</v>
      </c>
      <c r="C9" s="200" t="str">
        <f>Pedreiro!C9</f>
        <v>CCT PB000113/2025</v>
      </c>
      <c r="D9" s="200"/>
    </row>
    <row r="10" spans="1:9">
      <c r="A10" s="39" t="s">
        <v>53</v>
      </c>
      <c r="B10" s="40" t="s">
        <v>202</v>
      </c>
      <c r="C10" s="200" t="s">
        <v>203</v>
      </c>
      <c r="D10" s="200"/>
    </row>
    <row r="11" spans="1:9">
      <c r="A11" s="202" t="s">
        <v>204</v>
      </c>
      <c r="B11" s="202"/>
      <c r="C11" s="202"/>
      <c r="D11" s="202"/>
    </row>
    <row r="12" spans="1:9" ht="15" customHeight="1">
      <c r="A12" s="203" t="s">
        <v>205</v>
      </c>
      <c r="B12" s="203"/>
      <c r="C12" s="44" t="s">
        <v>206</v>
      </c>
      <c r="D12" s="45" t="s">
        <v>207</v>
      </c>
    </row>
    <row r="13" spans="1:9">
      <c r="A13" s="204" t="s">
        <v>269</v>
      </c>
      <c r="B13" s="204"/>
      <c r="C13" s="41" t="s">
        <v>209</v>
      </c>
      <c r="D13" s="46">
        <v>10</v>
      </c>
    </row>
    <row r="14" spans="1:9">
      <c r="A14" s="205"/>
      <c r="B14" s="205"/>
      <c r="C14" s="41"/>
      <c r="D14" s="47"/>
    </row>
    <row r="15" spans="1:9">
      <c r="A15" s="202" t="s">
        <v>14</v>
      </c>
      <c r="B15" s="202"/>
      <c r="C15" s="202"/>
      <c r="D15" s="202"/>
      <c r="H15" s="190"/>
      <c r="I15" s="190"/>
    </row>
    <row r="16" spans="1:9">
      <c r="A16" s="12" t="s">
        <v>16</v>
      </c>
      <c r="B16" t="s">
        <v>17</v>
      </c>
      <c r="C16" s="1" t="s">
        <v>18</v>
      </c>
      <c r="D16" s="1" t="s">
        <v>19</v>
      </c>
    </row>
    <row r="17" spans="1:9">
      <c r="A17" s="12">
        <v>1</v>
      </c>
      <c r="B17" t="s">
        <v>20</v>
      </c>
      <c r="C17" s="4" t="s">
        <v>102</v>
      </c>
      <c r="D17" s="4" t="str">
        <f>A13</f>
        <v>Cozinheira</v>
      </c>
    </row>
    <row r="18" spans="1:9">
      <c r="A18" s="12">
        <v>2</v>
      </c>
      <c r="B18" t="s">
        <v>23</v>
      </c>
      <c r="C18" s="4" t="s">
        <v>210</v>
      </c>
      <c r="D18" s="4" t="s">
        <v>270</v>
      </c>
    </row>
    <row r="19" spans="1:9">
      <c r="A19" s="12">
        <v>3</v>
      </c>
      <c r="B19" t="s">
        <v>26</v>
      </c>
      <c r="C19" s="48" t="str">
        <f>C9</f>
        <v>CCT PB000113/2025</v>
      </c>
      <c r="D19" s="49">
        <v>1536.73</v>
      </c>
    </row>
    <row r="20" spans="1:9">
      <c r="A20" s="12">
        <v>4</v>
      </c>
      <c r="B20" t="s">
        <v>29</v>
      </c>
      <c r="C20" s="48" t="str">
        <f>C9</f>
        <v>CCT PB000113/2025</v>
      </c>
      <c r="D20" s="4" t="s">
        <v>212</v>
      </c>
    </row>
    <row r="21" spans="1:9">
      <c r="A21" s="12">
        <v>5</v>
      </c>
      <c r="B21" t="s">
        <v>33</v>
      </c>
      <c r="C21" s="48" t="str">
        <f>C9</f>
        <v>CCT PB000113/2025</v>
      </c>
      <c r="D21" s="50" t="s">
        <v>213</v>
      </c>
    </row>
    <row r="22" spans="1:9">
      <c r="H22" s="190"/>
      <c r="I22" s="190"/>
    </row>
    <row r="23" spans="1:9">
      <c r="A23" s="198" t="s">
        <v>36</v>
      </c>
      <c r="B23" s="198"/>
      <c r="C23" s="198"/>
      <c r="D23" s="198"/>
    </row>
    <row r="24" spans="1:9">
      <c r="A24" s="12" t="s">
        <v>39</v>
      </c>
      <c r="B24" t="s">
        <v>40</v>
      </c>
      <c r="C24" s="1" t="s">
        <v>18</v>
      </c>
      <c r="D24" s="1" t="s">
        <v>19</v>
      </c>
      <c r="I24" s="6"/>
    </row>
    <row r="25" spans="1:9">
      <c r="A25" s="12" t="s">
        <v>42</v>
      </c>
      <c r="B25" t="s">
        <v>43</v>
      </c>
      <c r="C25" s="4" t="s">
        <v>271</v>
      </c>
      <c r="D25" s="49">
        <f>D19</f>
        <v>1536.73</v>
      </c>
      <c r="I25" s="6"/>
    </row>
    <row r="26" spans="1:9">
      <c r="A26" s="12" t="s">
        <v>45</v>
      </c>
      <c r="B26" t="s">
        <v>215</v>
      </c>
      <c r="C26" s="4"/>
      <c r="D26" s="49">
        <v>0</v>
      </c>
      <c r="I26" s="6"/>
    </row>
    <row r="27" spans="1:9">
      <c r="A27" s="12" t="s">
        <v>48</v>
      </c>
      <c r="B27" t="s">
        <v>216</v>
      </c>
      <c r="C27" s="4"/>
      <c r="D27" s="49">
        <v>0</v>
      </c>
    </row>
    <row r="28" spans="1:9">
      <c r="A28" s="12" t="s">
        <v>50</v>
      </c>
      <c r="B28" t="s">
        <v>51</v>
      </c>
      <c r="C28" s="4"/>
      <c r="D28" s="49">
        <v>0</v>
      </c>
    </row>
    <row r="29" spans="1:9">
      <c r="A29" s="12" t="s">
        <v>53</v>
      </c>
      <c r="B29" t="s">
        <v>54</v>
      </c>
      <c r="C29" s="4"/>
      <c r="D29" s="49">
        <v>0</v>
      </c>
    </row>
    <row r="30" spans="1:9">
      <c r="A30" s="12" t="s">
        <v>55</v>
      </c>
      <c r="B30" t="s">
        <v>56</v>
      </c>
      <c r="C30" s="4"/>
      <c r="D30" s="49">
        <v>0</v>
      </c>
    </row>
    <row r="31" spans="1:9">
      <c r="A31" s="12" t="s">
        <v>58</v>
      </c>
      <c r="C31" s="1"/>
      <c r="D31" s="7">
        <f>TRUNC((SUM(D25:D30)),2)</f>
        <v>1536.73</v>
      </c>
      <c r="H31" s="190"/>
      <c r="I31" s="190"/>
    </row>
    <row r="32" spans="1:9">
      <c r="B32" s="51" t="s">
        <v>217</v>
      </c>
    </row>
    <row r="33" spans="1:9">
      <c r="A33" s="206" t="s">
        <v>61</v>
      </c>
      <c r="B33" s="206"/>
      <c r="C33" s="206"/>
      <c r="D33" s="206"/>
      <c r="I33" s="6"/>
    </row>
    <row r="35" spans="1:9">
      <c r="A35" s="193" t="s">
        <v>63</v>
      </c>
      <c r="B35" s="193"/>
      <c r="C35" s="193"/>
      <c r="D35" s="193"/>
    </row>
    <row r="36" spans="1:9">
      <c r="A36" s="12" t="s">
        <v>65</v>
      </c>
      <c r="B36" t="s">
        <v>66</v>
      </c>
      <c r="C36" s="1" t="s">
        <v>38</v>
      </c>
      <c r="D36" s="1" t="s">
        <v>19</v>
      </c>
    </row>
    <row r="37" spans="1:9">
      <c r="A37" s="12" t="s">
        <v>42</v>
      </c>
      <c r="B37" t="s">
        <v>67</v>
      </c>
      <c r="C37" s="17">
        <f>(1/12)</f>
        <v>8.3333333333333329E-2</v>
      </c>
      <c r="D37" s="7">
        <f>TRUNC($D$31*C37,2)</f>
        <v>128.06</v>
      </c>
    </row>
    <row r="38" spans="1:9">
      <c r="A38" s="12" t="s">
        <v>45</v>
      </c>
      <c r="B38" t="s">
        <v>68</v>
      </c>
      <c r="C38" s="17">
        <f>(((1+1/3)/12))</f>
        <v>0.1111111111111111</v>
      </c>
      <c r="D38" s="7">
        <f>TRUNC($D$31*C38,2)</f>
        <v>170.74</v>
      </c>
    </row>
    <row r="39" spans="1:9">
      <c r="A39" s="12" t="s">
        <v>58</v>
      </c>
      <c r="D39" s="7">
        <f>TRUNC((SUM(D37:D38)),2)</f>
        <v>298.8</v>
      </c>
    </row>
    <row r="40" spans="1:9">
      <c r="D40" s="7"/>
    </row>
    <row r="41" spans="1:9">
      <c r="A41" s="206" t="s">
        <v>218</v>
      </c>
      <c r="B41" s="206"/>
      <c r="C41" s="52" t="s">
        <v>219</v>
      </c>
      <c r="D41" s="53">
        <f>D31</f>
        <v>1536.73</v>
      </c>
    </row>
    <row r="42" spans="1:9">
      <c r="A42" s="206"/>
      <c r="B42" s="206"/>
      <c r="C42" s="54" t="s">
        <v>220</v>
      </c>
      <c r="D42" s="53">
        <f>D39</f>
        <v>298.8</v>
      </c>
    </row>
    <row r="43" spans="1:9">
      <c r="A43" s="206"/>
      <c r="B43" s="206"/>
      <c r="C43" s="52" t="s">
        <v>221</v>
      </c>
      <c r="D43" s="55">
        <f>TRUNC((SUM(D41:D42)),2)</f>
        <v>1835.53</v>
      </c>
    </row>
    <row r="44" spans="1:9">
      <c r="C44" s="18"/>
      <c r="D44" s="7"/>
    </row>
    <row r="45" spans="1:9">
      <c r="A45" s="193" t="s">
        <v>77</v>
      </c>
      <c r="B45" s="193"/>
      <c r="C45" s="193"/>
      <c r="D45" s="193"/>
    </row>
    <row r="46" spans="1:9">
      <c r="A46" s="12" t="s">
        <v>78</v>
      </c>
      <c r="B46" t="s">
        <v>79</v>
      </c>
      <c r="C46" s="1" t="s">
        <v>38</v>
      </c>
      <c r="D46" s="1" t="s">
        <v>80</v>
      </c>
    </row>
    <row r="47" spans="1:9">
      <c r="A47" s="12" t="s">
        <v>42</v>
      </c>
      <c r="B47" t="s">
        <v>81</v>
      </c>
      <c r="C47" s="17">
        <v>0.2</v>
      </c>
      <c r="D47" s="7">
        <f t="shared" ref="D47:D54" si="0">TRUNC(($D$43*C47),2)</f>
        <v>367.1</v>
      </c>
    </row>
    <row r="48" spans="1:9">
      <c r="A48" s="12" t="s">
        <v>45</v>
      </c>
      <c r="B48" t="s">
        <v>82</v>
      </c>
      <c r="C48" s="17">
        <v>2.5000000000000001E-2</v>
      </c>
      <c r="D48" s="7">
        <f t="shared" si="0"/>
        <v>45.88</v>
      </c>
    </row>
    <row r="49" spans="1:8">
      <c r="A49" s="12" t="s">
        <v>48</v>
      </c>
      <c r="B49" t="s">
        <v>222</v>
      </c>
      <c r="C49" s="56">
        <v>0</v>
      </c>
      <c r="D49" s="49">
        <f t="shared" si="0"/>
        <v>0</v>
      </c>
    </row>
    <row r="50" spans="1:8">
      <c r="A50" s="12" t="s">
        <v>50</v>
      </c>
      <c r="B50" t="s">
        <v>84</v>
      </c>
      <c r="C50" s="17">
        <v>1.4999999999999999E-2</v>
      </c>
      <c r="D50" s="7">
        <f t="shared" si="0"/>
        <v>27.53</v>
      </c>
    </row>
    <row r="51" spans="1:8">
      <c r="A51" s="12" t="s">
        <v>53</v>
      </c>
      <c r="B51" t="s">
        <v>85</v>
      </c>
      <c r="C51" s="17">
        <v>0.01</v>
      </c>
      <c r="D51" s="7">
        <f t="shared" si="0"/>
        <v>18.350000000000001</v>
      </c>
    </row>
    <row r="52" spans="1:8">
      <c r="A52" s="12" t="s">
        <v>55</v>
      </c>
      <c r="B52" t="s">
        <v>86</v>
      </c>
      <c r="C52" s="17">
        <v>6.0000000000000001E-3</v>
      </c>
      <c r="D52" s="7">
        <f t="shared" si="0"/>
        <v>11.01</v>
      </c>
    </row>
    <row r="53" spans="1:8">
      <c r="A53" s="12" t="s">
        <v>87</v>
      </c>
      <c r="B53" t="s">
        <v>88</v>
      </c>
      <c r="C53" s="17">
        <v>2E-3</v>
      </c>
      <c r="D53" s="7">
        <f t="shared" si="0"/>
        <v>3.67</v>
      </c>
    </row>
    <row r="54" spans="1:8">
      <c r="A54" s="12" t="s">
        <v>89</v>
      </c>
      <c r="B54" t="s">
        <v>90</v>
      </c>
      <c r="C54" s="17">
        <v>0.08</v>
      </c>
      <c r="D54" s="7">
        <f t="shared" si="0"/>
        <v>146.84</v>
      </c>
    </row>
    <row r="55" spans="1:8">
      <c r="A55" s="12" t="s">
        <v>58</v>
      </c>
      <c r="C55" s="18">
        <f>SUM(C47:C54)</f>
        <v>0.33800000000000002</v>
      </c>
      <c r="D55" s="7">
        <f>TRUNC((SUM(D47:D54)),2)</f>
        <v>620.38</v>
      </c>
    </row>
    <row r="56" spans="1:8">
      <c r="C56" s="18"/>
      <c r="D56" s="7"/>
    </row>
    <row r="57" spans="1:8">
      <c r="A57" s="193" t="s">
        <v>95</v>
      </c>
      <c r="B57" s="193"/>
      <c r="C57" s="193"/>
      <c r="D57" s="193"/>
    </row>
    <row r="58" spans="1:8">
      <c r="A58" s="12" t="s">
        <v>96</v>
      </c>
      <c r="B58" t="s">
        <v>97</v>
      </c>
      <c r="C58" s="1" t="s">
        <v>18</v>
      </c>
      <c r="D58" s="1" t="s">
        <v>19</v>
      </c>
    </row>
    <row r="59" spans="1:8">
      <c r="A59" s="12" t="s">
        <v>42</v>
      </c>
      <c r="B59" t="s">
        <v>98</v>
      </c>
      <c r="C59" s="107"/>
      <c r="D59" s="49">
        <v>0</v>
      </c>
    </row>
    <row r="60" spans="1:8">
      <c r="A60" s="12" t="s">
        <v>45</v>
      </c>
      <c r="B60" t="s">
        <v>99</v>
      </c>
      <c r="C60" s="107" t="str">
        <f>C9</f>
        <v>CCT PB000113/2025</v>
      </c>
      <c r="D60" s="49">
        <f>Submódulo2.356_53112[[#This Row],[Valor]]</f>
        <v>540</v>
      </c>
    </row>
    <row r="61" spans="1:8">
      <c r="A61" s="12" t="s">
        <v>48</v>
      </c>
      <c r="B61" t="s">
        <v>100</v>
      </c>
      <c r="C61" s="107"/>
      <c r="D61" s="49">
        <v>0</v>
      </c>
    </row>
    <row r="62" spans="1:8">
      <c r="A62" s="12" t="s">
        <v>50</v>
      </c>
      <c r="B62" s="57" t="s">
        <v>223</v>
      </c>
      <c r="C62" s="108"/>
      <c r="D62" s="58">
        <v>0</v>
      </c>
      <c r="H62" s="16"/>
    </row>
    <row r="63" spans="1:8">
      <c r="A63" s="12" t="s">
        <v>53</v>
      </c>
      <c r="B63" t="s">
        <v>224</v>
      </c>
      <c r="C63" s="107" t="str">
        <f>C60</f>
        <v>CCT PB000113/2025</v>
      </c>
      <c r="D63" s="49">
        <v>25</v>
      </c>
    </row>
    <row r="64" spans="1:8">
      <c r="A64" s="12" t="s">
        <v>55</v>
      </c>
      <c r="B64" s="59" t="s">
        <v>225</v>
      </c>
      <c r="C64" s="107" t="str">
        <f>C9</f>
        <v>CCT PB000113/2025</v>
      </c>
      <c r="D64" s="49">
        <v>6</v>
      </c>
    </row>
    <row r="65" spans="1:4">
      <c r="A65" s="12" t="s">
        <v>87</v>
      </c>
      <c r="B65" s="59" t="s">
        <v>226</v>
      </c>
      <c r="C65" s="108" t="str">
        <f>C60</f>
        <v>CCT PB000113/2025</v>
      </c>
      <c r="D65" s="49">
        <v>50</v>
      </c>
    </row>
    <row r="66" spans="1:4">
      <c r="A66" s="12" t="s">
        <v>58</v>
      </c>
      <c r="D66" s="7">
        <f>TRUNC((SUM(D59:D65)),2)</f>
        <v>621</v>
      </c>
    </row>
    <row r="67" spans="1:4">
      <c r="D67" s="7"/>
    </row>
    <row r="68" spans="1:4">
      <c r="A68" s="193" t="s">
        <v>105</v>
      </c>
      <c r="B68" s="193"/>
      <c r="C68" s="193"/>
      <c r="D68" s="193"/>
    </row>
    <row r="69" spans="1:4">
      <c r="A69" s="12" t="s">
        <v>106</v>
      </c>
      <c r="B69" t="s">
        <v>107</v>
      </c>
      <c r="C69" s="1" t="s">
        <v>18</v>
      </c>
      <c r="D69" s="1" t="s">
        <v>19</v>
      </c>
    </row>
    <row r="70" spans="1:4">
      <c r="A70" s="12" t="s">
        <v>65</v>
      </c>
      <c r="B70" t="s">
        <v>66</v>
      </c>
      <c r="C70" s="1"/>
      <c r="D70" s="7">
        <f>D39</f>
        <v>298.8</v>
      </c>
    </row>
    <row r="71" spans="1:4">
      <c r="A71" s="12" t="s">
        <v>78</v>
      </c>
      <c r="B71" t="s">
        <v>79</v>
      </c>
      <c r="C71" s="1"/>
      <c r="D71" s="7">
        <f>D55</f>
        <v>620.38</v>
      </c>
    </row>
    <row r="72" spans="1:4">
      <c r="A72" s="12" t="s">
        <v>96</v>
      </c>
      <c r="B72" t="s">
        <v>97</v>
      </c>
      <c r="C72" s="1"/>
      <c r="D72" s="7">
        <f>D66</f>
        <v>621</v>
      </c>
    </row>
    <row r="73" spans="1:4">
      <c r="A73" s="12" t="s">
        <v>58</v>
      </c>
      <c r="C73" s="1"/>
      <c r="D73" s="7">
        <f>TRUNC((SUM(D70:D72)),2)</f>
        <v>1540.18</v>
      </c>
    </row>
    <row r="75" spans="1:4">
      <c r="A75" s="198" t="s">
        <v>108</v>
      </c>
      <c r="B75" s="198"/>
      <c r="C75" s="198"/>
      <c r="D75" s="198"/>
    </row>
    <row r="76" spans="1:4">
      <c r="A76" s="12" t="s">
        <v>109</v>
      </c>
      <c r="B76" t="s">
        <v>110</v>
      </c>
      <c r="C76" s="1" t="s">
        <v>38</v>
      </c>
      <c r="D76" s="1" t="s">
        <v>19</v>
      </c>
    </row>
    <row r="77" spans="1:4">
      <c r="A77" s="12" t="s">
        <v>42</v>
      </c>
      <c r="B77" t="s">
        <v>111</v>
      </c>
      <c r="C77" s="56">
        <f>((1/12)*2%)</f>
        <v>1.6666666666666666E-3</v>
      </c>
      <c r="D77" s="49">
        <f>TRUNC(($D$31*C77),2)</f>
        <v>2.56</v>
      </c>
    </row>
    <row r="78" spans="1:4">
      <c r="A78" s="12" t="s">
        <v>45</v>
      </c>
      <c r="B78" t="s">
        <v>112</v>
      </c>
      <c r="C78" s="61">
        <v>0.08</v>
      </c>
      <c r="D78" s="7">
        <f>TRUNC(($D$77*C78),2)</f>
        <v>0.2</v>
      </c>
    </row>
    <row r="79" spans="1:4" ht="30">
      <c r="A79" s="12" t="s">
        <v>48</v>
      </c>
      <c r="B79" s="95" t="s">
        <v>113</v>
      </c>
      <c r="C79" s="63">
        <f>(0.08*0.4*0.02)</f>
        <v>6.4000000000000005E-4</v>
      </c>
      <c r="D79" s="58">
        <f>TRUNC(($D$31*C79),2)</f>
        <v>0.98</v>
      </c>
    </row>
    <row r="80" spans="1:4">
      <c r="A80" s="12" t="s">
        <v>50</v>
      </c>
      <c r="B80" t="s">
        <v>114</v>
      </c>
      <c r="C80" s="61">
        <f>(((7/30)/12)*0.98)</f>
        <v>1.9055555555555555E-2</v>
      </c>
      <c r="D80" s="7">
        <f>TRUNC(($D$31*C80),2)</f>
        <v>29.28</v>
      </c>
    </row>
    <row r="81" spans="1:4" ht="30">
      <c r="A81" s="12" t="s">
        <v>53</v>
      </c>
      <c r="B81" s="95" t="s">
        <v>227</v>
      </c>
      <c r="C81" s="63">
        <f>C55</f>
        <v>0.33800000000000002</v>
      </c>
      <c r="D81" s="58">
        <f>TRUNC(($D$80*C81),2)</f>
        <v>9.89</v>
      </c>
    </row>
    <row r="82" spans="1:4" ht="30">
      <c r="A82" s="12" t="s">
        <v>55</v>
      </c>
      <c r="B82" s="95" t="s">
        <v>115</v>
      </c>
      <c r="C82" s="63">
        <f>(0.08*0.4*0.98)</f>
        <v>3.1359999999999999E-2</v>
      </c>
      <c r="D82" s="58">
        <f>TRUNC(($D$31*C82),2)</f>
        <v>48.19</v>
      </c>
    </row>
    <row r="83" spans="1:4">
      <c r="A83" s="12" t="s">
        <v>58</v>
      </c>
      <c r="C83" s="61">
        <f>SUM(C77:C82)</f>
        <v>0.47072222222222221</v>
      </c>
      <c r="D83" s="7">
        <f>TRUNC((SUM(D77:D82)),2)</f>
        <v>91.1</v>
      </c>
    </row>
    <row r="84" spans="1:4">
      <c r="D84" s="7"/>
    </row>
    <row r="85" spans="1:4">
      <c r="A85" s="206" t="s">
        <v>228</v>
      </c>
      <c r="B85" s="206"/>
      <c r="C85" s="52" t="s">
        <v>219</v>
      </c>
      <c r="D85" s="53">
        <f>D31</f>
        <v>1536.73</v>
      </c>
    </row>
    <row r="86" spans="1:4">
      <c r="A86" s="206"/>
      <c r="B86" s="206"/>
      <c r="C86" s="54" t="s">
        <v>229</v>
      </c>
      <c r="D86" s="53">
        <f>D73</f>
        <v>1540.18</v>
      </c>
    </row>
    <row r="87" spans="1:4">
      <c r="A87" s="206"/>
      <c r="B87" s="206"/>
      <c r="C87" s="52" t="s">
        <v>230</v>
      </c>
      <c r="D87" s="53">
        <f>D83</f>
        <v>91.1</v>
      </c>
    </row>
    <row r="88" spans="1:4">
      <c r="A88" s="206"/>
      <c r="B88" s="206"/>
      <c r="C88" s="54" t="s">
        <v>221</v>
      </c>
      <c r="D88" s="55">
        <f>TRUNC((SUM(D85:D87)),2)</f>
        <v>3168.01</v>
      </c>
    </row>
    <row r="89" spans="1:4">
      <c r="D89" s="7"/>
    </row>
    <row r="90" spans="1:4" ht="35.1" customHeight="1">
      <c r="A90" s="207" t="s">
        <v>127</v>
      </c>
      <c r="B90" s="207"/>
      <c r="C90" s="207"/>
      <c r="D90" s="207"/>
    </row>
    <row r="91" spans="1:4">
      <c r="A91" s="193" t="s">
        <v>128</v>
      </c>
      <c r="B91" s="193"/>
      <c r="C91" s="193"/>
      <c r="D91" s="193"/>
    </row>
    <row r="92" spans="1:4">
      <c r="A92" s="12" t="s">
        <v>129</v>
      </c>
      <c r="B92" t="s">
        <v>130</v>
      </c>
      <c r="C92" s="1" t="s">
        <v>38</v>
      </c>
      <c r="D92" s="1" t="s">
        <v>19</v>
      </c>
    </row>
    <row r="93" spans="1:4">
      <c r="A93" s="12" t="s">
        <v>42</v>
      </c>
      <c r="B93" t="s">
        <v>132</v>
      </c>
      <c r="C93" s="61">
        <f>(((1+1/3)/12)/12)+((1/12)/12)</f>
        <v>1.6203703703703703E-2</v>
      </c>
      <c r="D93" s="7">
        <f>TRUNC(($D$88*C93),2)</f>
        <v>51.33</v>
      </c>
    </row>
    <row r="94" spans="1:4">
      <c r="A94" s="12" t="s">
        <v>45</v>
      </c>
      <c r="B94" t="s">
        <v>133</v>
      </c>
      <c r="C94" s="56">
        <f>((5/30)/12)</f>
        <v>1.3888888888888888E-2</v>
      </c>
      <c r="D94" s="58">
        <f>TRUNC(($D$88*C94),2)</f>
        <v>44</v>
      </c>
    </row>
    <row r="95" spans="1:4">
      <c r="A95" s="12" t="s">
        <v>48</v>
      </c>
      <c r="B95" t="s">
        <v>134</v>
      </c>
      <c r="C95" s="56">
        <f>((5/30)/12)*0.02</f>
        <v>2.7777777777777778E-4</v>
      </c>
      <c r="D95" s="58">
        <f>TRUNC(($D$88*C95),2)</f>
        <v>0.88</v>
      </c>
    </row>
    <row r="96" spans="1:4" ht="30">
      <c r="A96" s="12" t="s">
        <v>50</v>
      </c>
      <c r="B96" s="95" t="s">
        <v>135</v>
      </c>
      <c r="C96" s="63">
        <f>((15/30)/12)*0.08</f>
        <v>3.3333333333333331E-3</v>
      </c>
      <c r="D96" s="58">
        <f>TRUNC(($D$88*C96),2)</f>
        <v>10.56</v>
      </c>
    </row>
    <row r="97" spans="1:4">
      <c r="A97" s="12" t="s">
        <v>53</v>
      </c>
      <c r="B97" t="s">
        <v>136</v>
      </c>
      <c r="C97" s="56">
        <f>((1+1/3)/12)*0.00001*((4/12))</f>
        <v>3.7037037037037031E-7</v>
      </c>
      <c r="D97" s="58">
        <f>TRUNC(($D$88*C97),2)</f>
        <v>0</v>
      </c>
    </row>
    <row r="98" spans="1:4">
      <c r="A98" s="12" t="s">
        <v>55</v>
      </c>
      <c r="B98" s="95" t="s">
        <v>231</v>
      </c>
      <c r="C98" s="96">
        <v>0</v>
      </c>
      <c r="D98" s="58">
        <f>TRUNC($D$88*C98)</f>
        <v>0</v>
      </c>
    </row>
    <row r="99" spans="1:4">
      <c r="A99" s="12" t="s">
        <v>58</v>
      </c>
      <c r="C99" s="61">
        <f>SUBTOTAL(109,Submódulo4.159_137[Percentual])</f>
        <v>3.3704074074074074E-2</v>
      </c>
      <c r="D99" s="7">
        <f>TRUNC((SUM(D93:D98)),2)</f>
        <v>106.77</v>
      </c>
    </row>
    <row r="100" spans="1:4">
      <c r="C100" s="1"/>
      <c r="D100" s="7"/>
    </row>
    <row r="101" spans="1:4">
      <c r="A101" s="193" t="s">
        <v>144</v>
      </c>
      <c r="B101" s="193"/>
      <c r="C101" s="193"/>
      <c r="D101" s="193"/>
    </row>
    <row r="102" spans="1:4">
      <c r="A102" s="12" t="s">
        <v>145</v>
      </c>
      <c r="B102" t="s">
        <v>146</v>
      </c>
      <c r="C102" s="1" t="s">
        <v>18</v>
      </c>
      <c r="D102" s="1" t="s">
        <v>19</v>
      </c>
    </row>
    <row r="103" spans="1:4" ht="105">
      <c r="A103" s="12" t="s">
        <v>42</v>
      </c>
      <c r="B103" s="70" t="s">
        <v>147</v>
      </c>
      <c r="C103" s="71" t="s">
        <v>232</v>
      </c>
      <c r="D103" s="72" t="s">
        <v>233</v>
      </c>
    </row>
    <row r="104" spans="1:4">
      <c r="A104" s="12" t="s">
        <v>58</v>
      </c>
      <c r="C104" s="73"/>
      <c r="D104" s="74" t="str">
        <f>D103</f>
        <v>*=TRUNCAR(($D$86/220)*(1*(365/12))/2)</v>
      </c>
    </row>
    <row r="106" spans="1:4">
      <c r="A106" s="193" t="s">
        <v>148</v>
      </c>
      <c r="B106" s="193"/>
      <c r="C106" s="193"/>
      <c r="D106" s="193"/>
    </row>
    <row r="107" spans="1:4">
      <c r="A107" s="12" t="s">
        <v>149</v>
      </c>
      <c r="B107" t="s">
        <v>150</v>
      </c>
      <c r="C107" s="1" t="s">
        <v>18</v>
      </c>
      <c r="D107" s="1" t="s">
        <v>19</v>
      </c>
    </row>
    <row r="108" spans="1:4">
      <c r="A108" s="12" t="s">
        <v>129</v>
      </c>
      <c r="B108" t="s">
        <v>130</v>
      </c>
      <c r="D108" s="49">
        <f>D99</f>
        <v>106.77</v>
      </c>
    </row>
    <row r="109" spans="1:4">
      <c r="A109" s="12" t="s">
        <v>145</v>
      </c>
      <c r="B109" t="s">
        <v>151</v>
      </c>
      <c r="D109" s="75" t="str">
        <f>Submódulo4.260_138[[#Totals],[Valor]]</f>
        <v>*=TRUNCAR(($D$86/220)*(1*(365/12))/2)</v>
      </c>
    </row>
    <row r="110" spans="1:4" ht="75">
      <c r="A110" s="12" t="s">
        <v>58</v>
      </c>
      <c r="B110" s="16"/>
      <c r="C110" s="71" t="s">
        <v>234</v>
      </c>
      <c r="D110" s="76">
        <f>TRUNC((SUM(D108:D109)),2)</f>
        <v>106.77</v>
      </c>
    </row>
    <row r="112" spans="1:4">
      <c r="A112" s="198" t="s">
        <v>152</v>
      </c>
      <c r="B112" s="198"/>
      <c r="C112" s="198"/>
      <c r="D112" s="198"/>
    </row>
    <row r="113" spans="1:11" ht="30">
      <c r="A113" s="12" t="s">
        <v>153</v>
      </c>
      <c r="B113" s="12" t="s">
        <v>154</v>
      </c>
      <c r="C113" s="12" t="s">
        <v>18</v>
      </c>
      <c r="D113" s="12" t="s">
        <v>19</v>
      </c>
      <c r="H113" s="77" t="s">
        <v>235</v>
      </c>
      <c r="I113" s="78" t="s">
        <v>236</v>
      </c>
      <c r="J113" s="78" t="s">
        <v>237</v>
      </c>
      <c r="K113" s="78" t="s">
        <v>238</v>
      </c>
    </row>
    <row r="114" spans="1:11">
      <c r="A114" s="12" t="s">
        <v>42</v>
      </c>
      <c r="B114" t="s">
        <v>239</v>
      </c>
      <c r="D114" s="79">
        <f>F114</f>
        <v>0</v>
      </c>
      <c r="F114">
        <f t="array" ref="F114:G114">'Uniformes e EPI'!G117:H117</f>
        <v>0</v>
      </c>
      <c r="G114">
        <v>0</v>
      </c>
      <c r="H114" s="80" t="s">
        <v>240</v>
      </c>
      <c r="I114" s="81">
        <v>0</v>
      </c>
      <c r="J114" s="82">
        <v>92</v>
      </c>
      <c r="K114" s="82">
        <f>TRUNC(J114*I114,2)</f>
        <v>0</v>
      </c>
    </row>
    <row r="115" spans="1:11">
      <c r="A115" s="12" t="s">
        <v>45</v>
      </c>
      <c r="B115" t="s">
        <v>241</v>
      </c>
      <c r="D115" s="79">
        <v>0</v>
      </c>
      <c r="H115" s="83" t="s">
        <v>242</v>
      </c>
      <c r="I115" s="84">
        <v>0</v>
      </c>
      <c r="J115" s="53">
        <v>184</v>
      </c>
      <c r="K115" s="82">
        <f>TRUNC(J115*I115,2)</f>
        <v>0</v>
      </c>
    </row>
    <row r="116" spans="1:11">
      <c r="A116" s="12" t="s">
        <v>48</v>
      </c>
      <c r="B116" t="s">
        <v>156</v>
      </c>
      <c r="D116" s="79">
        <v>0</v>
      </c>
      <c r="H116" s="208" t="s">
        <v>221</v>
      </c>
      <c r="I116" s="208"/>
      <c r="J116" s="210">
        <f>TRUNC(SUM(K114:K115),2)</f>
        <v>0</v>
      </c>
      <c r="K116" s="210"/>
    </row>
    <row r="117" spans="1:11">
      <c r="A117" s="12" t="s">
        <v>50</v>
      </c>
      <c r="B117" t="s">
        <v>157</v>
      </c>
      <c r="D117" s="79">
        <v>0</v>
      </c>
      <c r="H117" s="208" t="s">
        <v>243</v>
      </c>
      <c r="I117" s="208"/>
      <c r="J117" s="210">
        <f>TRUNC(J116/12,2)</f>
        <v>0</v>
      </c>
      <c r="K117" s="210"/>
    </row>
    <row r="118" spans="1:11" ht="15" customHeight="1">
      <c r="A118" s="12" t="s">
        <v>53</v>
      </c>
      <c r="B118" t="s">
        <v>244</v>
      </c>
      <c r="D118" s="79">
        <f>J117</f>
        <v>0</v>
      </c>
      <c r="H118" s="212" t="str">
        <f>Pedreiro!H118</f>
        <v>* Valores estabelecidos em conformidade com as disposição da CCT n.° PB 000113/2025</v>
      </c>
      <c r="I118" s="212"/>
      <c r="J118" s="212"/>
      <c r="K118" s="212"/>
    </row>
    <row r="119" spans="1:11">
      <c r="A119" s="12" t="s">
        <v>58</v>
      </c>
      <c r="D119" s="65">
        <f>TRUNC(SUM(D114:D118),2)</f>
        <v>0</v>
      </c>
      <c r="H119" s="212"/>
      <c r="I119" s="212"/>
      <c r="J119" s="212"/>
      <c r="K119" s="212"/>
    </row>
    <row r="121" spans="1:11">
      <c r="A121" s="206" t="s">
        <v>245</v>
      </c>
      <c r="B121" s="206"/>
      <c r="C121" s="52" t="s">
        <v>219</v>
      </c>
      <c r="D121" s="53">
        <f>D31</f>
        <v>1536.73</v>
      </c>
    </row>
    <row r="122" spans="1:11">
      <c r="A122" s="206"/>
      <c r="B122" s="206"/>
      <c r="C122" s="54" t="s">
        <v>229</v>
      </c>
      <c r="D122" s="53">
        <f>D73</f>
        <v>1540.18</v>
      </c>
    </row>
    <row r="123" spans="1:11">
      <c r="A123" s="206"/>
      <c r="B123" s="206"/>
      <c r="C123" s="52" t="s">
        <v>230</v>
      </c>
      <c r="D123" s="53">
        <f>D83</f>
        <v>91.1</v>
      </c>
    </row>
    <row r="124" spans="1:11">
      <c r="A124" s="206"/>
      <c r="B124" s="206"/>
      <c r="C124" s="54" t="s">
        <v>246</v>
      </c>
      <c r="D124" s="53">
        <f>D110</f>
        <v>106.77</v>
      </c>
    </row>
    <row r="125" spans="1:11">
      <c r="A125" s="206"/>
      <c r="B125" s="206"/>
      <c r="C125" s="52" t="s">
        <v>247</v>
      </c>
      <c r="D125" s="53">
        <f>D119</f>
        <v>0</v>
      </c>
    </row>
    <row r="126" spans="1:11">
      <c r="A126" s="206"/>
      <c r="B126" s="206"/>
      <c r="C126" s="54" t="s">
        <v>221</v>
      </c>
      <c r="D126" s="55">
        <f>TRUNC((SUM(D121:D125)),2)</f>
        <v>3274.78</v>
      </c>
    </row>
    <row r="128" spans="1:11">
      <c r="A128" s="198" t="s">
        <v>164</v>
      </c>
      <c r="B128" s="198"/>
      <c r="C128" s="198"/>
      <c r="D128" s="198"/>
    </row>
    <row r="129" spans="1:9">
      <c r="A129" s="12" t="s">
        <v>165</v>
      </c>
      <c r="B129" t="s">
        <v>166</v>
      </c>
      <c r="C129" s="1" t="s">
        <v>38</v>
      </c>
      <c r="D129" s="1" t="s">
        <v>19</v>
      </c>
      <c r="H129" s="209" t="s">
        <v>248</v>
      </c>
      <c r="I129" s="209"/>
    </row>
    <row r="130" spans="1:9">
      <c r="A130" s="12" t="s">
        <v>42</v>
      </c>
      <c r="B130" t="s">
        <v>167</v>
      </c>
      <c r="C130" s="56">
        <f>Módulo663_59105[[#This Row],[Percentual]]</f>
        <v>0</v>
      </c>
      <c r="D130" s="49">
        <f>TRUNC(($D$126*C130),2)</f>
        <v>0</v>
      </c>
      <c r="H130" s="80" t="s">
        <v>249</v>
      </c>
      <c r="I130" s="63">
        <f>C132</f>
        <v>0.14250000000000002</v>
      </c>
    </row>
    <row r="131" spans="1:9">
      <c r="A131" s="12" t="s">
        <v>45</v>
      </c>
      <c r="B131" t="s">
        <v>59</v>
      </c>
      <c r="C131" s="56">
        <f>Módulo663_59105[[#This Row],[Percentual]]</f>
        <v>0</v>
      </c>
      <c r="D131" s="49">
        <f>TRUNC((C131*(D126+D130)),2)</f>
        <v>0</v>
      </c>
      <c r="H131" s="86" t="s">
        <v>250</v>
      </c>
      <c r="I131" s="87">
        <f>TRUNC(SUM(D126,D130,D131),2)</f>
        <v>3274.78</v>
      </c>
    </row>
    <row r="132" spans="1:9">
      <c r="A132" s="12" t="s">
        <v>48</v>
      </c>
      <c r="B132" t="s">
        <v>168</v>
      </c>
      <c r="C132" s="56">
        <f>SUM(C133:C135)</f>
        <v>0.14250000000000002</v>
      </c>
      <c r="D132" s="49">
        <f>TRUNC((SUM(D133:D135)),2)</f>
        <v>510.84</v>
      </c>
      <c r="H132" s="80" t="s">
        <v>251</v>
      </c>
      <c r="I132" s="88">
        <f>(100-8.65)/100</f>
        <v>0.91349999999999998</v>
      </c>
    </row>
    <row r="133" spans="1:9">
      <c r="B133" t="s">
        <v>252</v>
      </c>
      <c r="C133" s="56">
        <f>Módulo663_59105[[#This Row],[Percentual]]</f>
        <v>1.6500000000000001E-2</v>
      </c>
      <c r="D133" s="49">
        <f>TRUNC(($I$133*C133),2)</f>
        <v>59.15</v>
      </c>
      <c r="H133" s="86" t="s">
        <v>248</v>
      </c>
      <c r="I133" s="87">
        <f>TRUNC((I131/I132),2)</f>
        <v>3584.87</v>
      </c>
    </row>
    <row r="134" spans="1:9">
      <c r="B134" t="s">
        <v>253</v>
      </c>
      <c r="C134" s="56">
        <f>Módulo663_59105[[#This Row],[Percentual]]</f>
        <v>7.5999999999999998E-2</v>
      </c>
      <c r="D134" s="49">
        <f>TRUNC(($I$133*C134),2)</f>
        <v>272.45</v>
      </c>
    </row>
    <row r="135" spans="1:9">
      <c r="B135" t="s">
        <v>254</v>
      </c>
      <c r="C135" s="56">
        <f>Módulo663_59105[[#This Row],[Percentual]]</f>
        <v>0.05</v>
      </c>
      <c r="D135" s="49">
        <f>TRUNC(($I$133*C135),2)</f>
        <v>179.24</v>
      </c>
    </row>
    <row r="136" spans="1:9">
      <c r="A136" s="12" t="s">
        <v>58</v>
      </c>
      <c r="C136" s="1"/>
      <c r="D136" s="7">
        <f>TRUNC(SUM(D130:D132),2)</f>
        <v>510.84</v>
      </c>
    </row>
    <row r="137" spans="1:9">
      <c r="C137" s="1"/>
      <c r="D137" s="7"/>
    </row>
    <row r="139" spans="1:9">
      <c r="A139" s="198" t="s">
        <v>172</v>
      </c>
      <c r="B139" s="198"/>
      <c r="C139" s="198"/>
      <c r="D139" s="198"/>
    </row>
    <row r="140" spans="1:9">
      <c r="A140" s="12" t="s">
        <v>16</v>
      </c>
      <c r="B140" s="1" t="s">
        <v>173</v>
      </c>
      <c r="C140" s="1" t="s">
        <v>102</v>
      </c>
      <c r="D140" s="1" t="s">
        <v>19</v>
      </c>
    </row>
    <row r="141" spans="1:9">
      <c r="A141" s="12" t="s">
        <v>42</v>
      </c>
      <c r="B141" t="s">
        <v>36</v>
      </c>
      <c r="D141" s="7">
        <f>D31</f>
        <v>1536.73</v>
      </c>
    </row>
    <row r="142" spans="1:9">
      <c r="A142" s="12" t="s">
        <v>45</v>
      </c>
      <c r="B142" t="s">
        <v>61</v>
      </c>
      <c r="D142" s="7">
        <f>D73</f>
        <v>1540.18</v>
      </c>
    </row>
    <row r="143" spans="1:9">
      <c r="A143" s="12" t="s">
        <v>48</v>
      </c>
      <c r="B143" t="s">
        <v>108</v>
      </c>
      <c r="D143" s="7">
        <f>D83</f>
        <v>91.1</v>
      </c>
    </row>
    <row r="144" spans="1:9">
      <c r="A144" s="12" t="s">
        <v>50</v>
      </c>
      <c r="B144" t="s">
        <v>174</v>
      </c>
      <c r="D144" s="7">
        <f>D110</f>
        <v>106.77</v>
      </c>
    </row>
    <row r="145" spans="1:4">
      <c r="A145" s="12" t="s">
        <v>53</v>
      </c>
      <c r="B145" t="s">
        <v>152</v>
      </c>
      <c r="D145" s="7">
        <f>D119</f>
        <v>0</v>
      </c>
    </row>
    <row r="146" spans="1:4">
      <c r="B146" s="89" t="s">
        <v>175</v>
      </c>
      <c r="D146" s="7">
        <f>TRUNC(SUM(D141:D145),2)</f>
        <v>3274.78</v>
      </c>
    </row>
    <row r="147" spans="1:4">
      <c r="A147" s="12" t="s">
        <v>55</v>
      </c>
      <c r="B147" t="s">
        <v>164</v>
      </c>
      <c r="D147" s="7">
        <f>D136</f>
        <v>510.84</v>
      </c>
    </row>
    <row r="148" spans="1:4">
      <c r="A148" s="101"/>
      <c r="B148" s="91" t="s">
        <v>256</v>
      </c>
      <c r="C148" s="20"/>
      <c r="D148" s="92">
        <f>TRUNC((SUM(D141:D145)+D147),2)</f>
        <v>3785.62</v>
      </c>
    </row>
  </sheetData>
  <mergeCells count="38">
    <mergeCell ref="A128:D128"/>
    <mergeCell ref="H129:I129"/>
    <mergeCell ref="A139:D139"/>
    <mergeCell ref="J116:K116"/>
    <mergeCell ref="H117:I117"/>
    <mergeCell ref="J117:K117"/>
    <mergeCell ref="H118:K119"/>
    <mergeCell ref="A121:B126"/>
    <mergeCell ref="A91:D91"/>
    <mergeCell ref="A101:D101"/>
    <mergeCell ref="A106:D106"/>
    <mergeCell ref="A112:D112"/>
    <mergeCell ref="H116:I116"/>
    <mergeCell ref="A57:D57"/>
    <mergeCell ref="A68:D68"/>
    <mergeCell ref="A75:D75"/>
    <mergeCell ref="A85:B88"/>
    <mergeCell ref="A90:D90"/>
    <mergeCell ref="H31:I31"/>
    <mergeCell ref="A33:D33"/>
    <mergeCell ref="A35:D35"/>
    <mergeCell ref="A41:B43"/>
    <mergeCell ref="A45:D45"/>
    <mergeCell ref="A14:B14"/>
    <mergeCell ref="A15:D15"/>
    <mergeCell ref="H15:I15"/>
    <mergeCell ref="H22:I22"/>
    <mergeCell ref="A23:D23"/>
    <mergeCell ref="C9:D9"/>
    <mergeCell ref="C10:D10"/>
    <mergeCell ref="A11:D11"/>
    <mergeCell ref="A12:B12"/>
    <mergeCell ref="A13:B13"/>
    <mergeCell ref="A2:D2"/>
    <mergeCell ref="A3:D3"/>
    <mergeCell ref="A6:D6"/>
    <mergeCell ref="C7:D7"/>
    <mergeCell ref="C8:D8"/>
  </mergeCells>
  <pageMargins left="0.25" right="0.25" top="0.75" bottom="0.75" header="0.511811023622047" footer="0.511811023622047"/>
  <pageSetup paperSize="9" scale="50" fitToHeight="0" orientation="portrait" horizontalDpi="300" verticalDpi="300"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K149"/>
  <sheetViews>
    <sheetView view="pageBreakPreview" topLeftCell="A130" zoomScaleNormal="100" workbookViewId="0">
      <selection activeCell="H120" sqref="H120"/>
    </sheetView>
  </sheetViews>
  <sheetFormatPr defaultColWidth="9.140625" defaultRowHeight="15"/>
  <cols>
    <col min="1" max="1" width="10.5703125" style="12" customWidth="1"/>
    <col min="2" max="2" width="54.28515625" customWidth="1"/>
    <col min="3" max="3" width="23.85546875" customWidth="1"/>
    <col min="4" max="4" width="41" customWidth="1"/>
    <col min="6" max="7" width="11.5703125" hidden="1" customWidth="1"/>
    <col min="8" max="8" width="22.85546875" customWidth="1"/>
    <col min="9" max="9" width="13.28515625" customWidth="1"/>
    <col min="10" max="10" width="12" customWidth="1"/>
    <col min="11" max="11" width="12.28515625" customWidth="1"/>
  </cols>
  <sheetData>
    <row r="2" spans="1:9" ht="18.75">
      <c r="A2" s="196" t="s">
        <v>194</v>
      </c>
      <c r="B2" s="196"/>
      <c r="C2" s="196"/>
      <c r="D2" s="196"/>
    </row>
    <row r="3" spans="1:9">
      <c r="A3" s="213" t="str">
        <f>Pedreiro!A3</f>
        <v>Processo Administrativo n.° 23324.000830.2025-46</v>
      </c>
      <c r="B3" s="213"/>
      <c r="C3" s="213"/>
      <c r="D3" s="213"/>
    </row>
    <row r="4" spans="1:9" ht="21" customHeight="1">
      <c r="A4" s="102" t="s">
        <v>195</v>
      </c>
      <c r="B4" s="103" t="s">
        <v>392</v>
      </c>
      <c r="C4" s="34"/>
      <c r="D4" s="34"/>
    </row>
    <row r="5" spans="1:9">
      <c r="A5" s="10"/>
      <c r="B5" s="36"/>
      <c r="C5" s="36"/>
      <c r="D5" s="36"/>
    </row>
    <row r="6" spans="1:9">
      <c r="A6" s="198" t="s">
        <v>196</v>
      </c>
      <c r="B6" s="198"/>
      <c r="C6" s="198"/>
      <c r="D6" s="198"/>
    </row>
    <row r="7" spans="1:9">
      <c r="A7" s="37" t="s">
        <v>42</v>
      </c>
      <c r="B7" s="38" t="s">
        <v>197</v>
      </c>
      <c r="C7" s="199" t="s">
        <v>268</v>
      </c>
      <c r="D7" s="199"/>
    </row>
    <row r="8" spans="1:9">
      <c r="A8" s="39" t="s">
        <v>45</v>
      </c>
      <c r="B8" s="40" t="s">
        <v>199</v>
      </c>
      <c r="C8" s="200" t="s">
        <v>200</v>
      </c>
      <c r="D8" s="200"/>
    </row>
    <row r="9" spans="1:9">
      <c r="A9" s="42" t="s">
        <v>48</v>
      </c>
      <c r="B9" s="43" t="s">
        <v>201</v>
      </c>
      <c r="C9" s="200" t="str">
        <f>Pedreiro!C9</f>
        <v>CCT PB000113/2025</v>
      </c>
      <c r="D9" s="200"/>
    </row>
    <row r="10" spans="1:9">
      <c r="A10" s="39" t="s">
        <v>53</v>
      </c>
      <c r="B10" s="40" t="s">
        <v>202</v>
      </c>
      <c r="C10" s="200" t="s">
        <v>203</v>
      </c>
      <c r="D10" s="200"/>
    </row>
    <row r="11" spans="1:9">
      <c r="A11" s="202" t="s">
        <v>204</v>
      </c>
      <c r="B11" s="202"/>
      <c r="C11" s="202"/>
      <c r="D11" s="202"/>
    </row>
    <row r="12" spans="1:9" ht="15" customHeight="1">
      <c r="A12" s="203" t="s">
        <v>205</v>
      </c>
      <c r="B12" s="203"/>
      <c r="C12" s="44" t="s">
        <v>206</v>
      </c>
      <c r="D12" s="45" t="s">
        <v>207</v>
      </c>
    </row>
    <row r="13" spans="1:9">
      <c r="A13" s="204" t="s">
        <v>272</v>
      </c>
      <c r="B13" s="204"/>
      <c r="C13" s="41" t="s">
        <v>209</v>
      </c>
      <c r="D13" s="46">
        <v>5</v>
      </c>
    </row>
    <row r="14" spans="1:9">
      <c r="A14" s="205"/>
      <c r="B14" s="205"/>
      <c r="C14" s="41"/>
      <c r="D14" s="47"/>
    </row>
    <row r="15" spans="1:9">
      <c r="A15" s="202" t="s">
        <v>14</v>
      </c>
      <c r="B15" s="202"/>
      <c r="C15" s="202"/>
      <c r="D15" s="202"/>
      <c r="H15" s="190"/>
      <c r="I15" s="190"/>
    </row>
    <row r="16" spans="1:9">
      <c r="A16" s="12" t="s">
        <v>16</v>
      </c>
      <c r="B16" t="s">
        <v>17</v>
      </c>
      <c r="C16" s="1" t="s">
        <v>18</v>
      </c>
      <c r="D16" s="1" t="s">
        <v>19</v>
      </c>
    </row>
    <row r="17" spans="1:9">
      <c r="A17" s="12">
        <v>1</v>
      </c>
      <c r="B17" t="s">
        <v>20</v>
      </c>
      <c r="C17" s="4" t="s">
        <v>102</v>
      </c>
      <c r="D17" s="4" t="str">
        <f>A13</f>
        <v>Auxiliar de Cozinha</v>
      </c>
    </row>
    <row r="18" spans="1:9">
      <c r="A18" s="12">
        <v>2</v>
      </c>
      <c r="B18" t="s">
        <v>23</v>
      </c>
      <c r="C18" s="4" t="s">
        <v>210</v>
      </c>
      <c r="D18" s="4" t="s">
        <v>273</v>
      </c>
    </row>
    <row r="19" spans="1:9">
      <c r="A19" s="12">
        <v>3</v>
      </c>
      <c r="B19" t="s">
        <v>26</v>
      </c>
      <c r="C19" s="107" t="str">
        <f>C9</f>
        <v>CCT PB000113/2025</v>
      </c>
      <c r="D19" s="49">
        <v>1524.77</v>
      </c>
    </row>
    <row r="20" spans="1:9">
      <c r="A20" s="12">
        <v>4</v>
      </c>
      <c r="B20" t="s">
        <v>29</v>
      </c>
      <c r="C20" s="107" t="str">
        <f>C9</f>
        <v>CCT PB000113/2025</v>
      </c>
      <c r="D20" s="4" t="s">
        <v>212</v>
      </c>
    </row>
    <row r="21" spans="1:9">
      <c r="A21" s="12">
        <v>5</v>
      </c>
      <c r="B21" t="s">
        <v>33</v>
      </c>
      <c r="C21" s="107" t="str">
        <f>C9</f>
        <v>CCT PB000113/2025</v>
      </c>
      <c r="D21" s="50" t="s">
        <v>213</v>
      </c>
    </row>
    <row r="22" spans="1:9">
      <c r="H22" s="190"/>
      <c r="I22" s="190"/>
    </row>
    <row r="23" spans="1:9">
      <c r="A23" s="198" t="s">
        <v>36</v>
      </c>
      <c r="B23" s="198"/>
      <c r="C23" s="198"/>
      <c r="D23" s="198"/>
    </row>
    <row r="24" spans="1:9">
      <c r="A24" s="12" t="s">
        <v>39</v>
      </c>
      <c r="B24" t="s">
        <v>40</v>
      </c>
      <c r="C24" s="1" t="s">
        <v>18</v>
      </c>
      <c r="D24" s="1" t="s">
        <v>19</v>
      </c>
      <c r="I24" s="6"/>
    </row>
    <row r="25" spans="1:9">
      <c r="A25" s="12" t="s">
        <v>42</v>
      </c>
      <c r="B25" t="s">
        <v>43</v>
      </c>
      <c r="C25" s="4" t="s">
        <v>271</v>
      </c>
      <c r="D25" s="49">
        <f>D19</f>
        <v>1524.77</v>
      </c>
      <c r="I25" s="6"/>
    </row>
    <row r="26" spans="1:9">
      <c r="A26" s="12" t="s">
        <v>45</v>
      </c>
      <c r="B26" t="s">
        <v>215</v>
      </c>
      <c r="C26" s="4"/>
      <c r="D26" s="49">
        <v>0</v>
      </c>
      <c r="I26" s="6"/>
    </row>
    <row r="27" spans="1:9">
      <c r="A27" s="12" t="s">
        <v>48</v>
      </c>
      <c r="B27" t="s">
        <v>216</v>
      </c>
      <c r="C27" s="4"/>
      <c r="D27" s="49">
        <v>0</v>
      </c>
    </row>
    <row r="28" spans="1:9">
      <c r="A28" s="12" t="s">
        <v>50</v>
      </c>
      <c r="B28" t="s">
        <v>51</v>
      </c>
      <c r="C28" s="4"/>
      <c r="D28" s="49">
        <v>0</v>
      </c>
    </row>
    <row r="29" spans="1:9">
      <c r="A29" s="12" t="s">
        <v>53</v>
      </c>
      <c r="B29" t="s">
        <v>54</v>
      </c>
      <c r="C29" s="4"/>
      <c r="D29" s="49">
        <v>0</v>
      </c>
    </row>
    <row r="30" spans="1:9">
      <c r="A30" s="12" t="s">
        <v>55</v>
      </c>
      <c r="B30" t="s">
        <v>56</v>
      </c>
      <c r="C30" s="4"/>
      <c r="D30" s="49">
        <v>0</v>
      </c>
    </row>
    <row r="31" spans="1:9">
      <c r="A31" s="12" t="s">
        <v>58</v>
      </c>
      <c r="C31" s="1"/>
      <c r="D31" s="7">
        <f>TRUNC((SUM(D25:D30)),2)</f>
        <v>1524.77</v>
      </c>
      <c r="H31" s="190"/>
      <c r="I31" s="190"/>
    </row>
    <row r="32" spans="1:9">
      <c r="B32" s="51" t="s">
        <v>217</v>
      </c>
    </row>
    <row r="33" spans="1:9">
      <c r="A33" s="206" t="s">
        <v>61</v>
      </c>
      <c r="B33" s="206"/>
      <c r="C33" s="206"/>
      <c r="D33" s="206"/>
      <c r="I33" s="6"/>
    </row>
    <row r="35" spans="1:9">
      <c r="A35" s="193" t="s">
        <v>63</v>
      </c>
      <c r="B35" s="193"/>
      <c r="C35" s="193"/>
      <c r="D35" s="193"/>
    </row>
    <row r="36" spans="1:9">
      <c r="A36" s="12" t="s">
        <v>65</v>
      </c>
      <c r="B36" t="s">
        <v>66</v>
      </c>
      <c r="C36" s="1" t="s">
        <v>38</v>
      </c>
      <c r="D36" s="1" t="s">
        <v>19</v>
      </c>
    </row>
    <row r="37" spans="1:9">
      <c r="A37" s="12" t="s">
        <v>42</v>
      </c>
      <c r="B37" t="s">
        <v>67</v>
      </c>
      <c r="C37" s="17">
        <f>(1/12)</f>
        <v>8.3333333333333329E-2</v>
      </c>
      <c r="D37" s="7">
        <f>TRUNC($D$31*C37,2)</f>
        <v>127.06</v>
      </c>
    </row>
    <row r="38" spans="1:9">
      <c r="A38" s="12" t="s">
        <v>45</v>
      </c>
      <c r="B38" t="s">
        <v>68</v>
      </c>
      <c r="C38" s="17">
        <f>(((1+1/3)/12))</f>
        <v>0.1111111111111111</v>
      </c>
      <c r="D38" s="7">
        <f>TRUNC($D$31*C38,2)</f>
        <v>169.41</v>
      </c>
    </row>
    <row r="39" spans="1:9">
      <c r="A39" s="12" t="s">
        <v>58</v>
      </c>
      <c r="D39" s="7">
        <f>TRUNC((SUM(D37:D38)),2)</f>
        <v>296.47000000000003</v>
      </c>
    </row>
    <row r="40" spans="1:9">
      <c r="D40" s="7"/>
    </row>
    <row r="41" spans="1:9">
      <c r="A41" s="206" t="s">
        <v>218</v>
      </c>
      <c r="B41" s="206"/>
      <c r="C41" s="52" t="s">
        <v>219</v>
      </c>
      <c r="D41" s="53">
        <f>D31</f>
        <v>1524.77</v>
      </c>
    </row>
    <row r="42" spans="1:9">
      <c r="A42" s="206"/>
      <c r="B42" s="206"/>
      <c r="C42" s="54" t="s">
        <v>220</v>
      </c>
      <c r="D42" s="53">
        <f>D39</f>
        <v>296.47000000000003</v>
      </c>
    </row>
    <row r="43" spans="1:9">
      <c r="A43" s="206"/>
      <c r="B43" s="206"/>
      <c r="C43" s="52" t="s">
        <v>221</v>
      </c>
      <c r="D43" s="55">
        <f>TRUNC((SUM(D41:D42)),2)</f>
        <v>1821.24</v>
      </c>
    </row>
    <row r="44" spans="1:9">
      <c r="C44" s="18"/>
      <c r="D44" s="7"/>
    </row>
    <row r="45" spans="1:9">
      <c r="A45" s="193" t="s">
        <v>77</v>
      </c>
      <c r="B45" s="193"/>
      <c r="C45" s="193"/>
      <c r="D45" s="193"/>
    </row>
    <row r="46" spans="1:9">
      <c r="A46" s="12" t="s">
        <v>78</v>
      </c>
      <c r="B46" t="s">
        <v>79</v>
      </c>
      <c r="C46" s="1" t="s">
        <v>38</v>
      </c>
      <c r="D46" s="1" t="s">
        <v>80</v>
      </c>
    </row>
    <row r="47" spans="1:9">
      <c r="A47" s="12" t="s">
        <v>42</v>
      </c>
      <c r="B47" t="s">
        <v>81</v>
      </c>
      <c r="C47" s="17">
        <v>0.2</v>
      </c>
      <c r="D47" s="7">
        <f t="shared" ref="D47:D54" si="0">TRUNC(($D$43*C47),2)</f>
        <v>364.24</v>
      </c>
    </row>
    <row r="48" spans="1:9">
      <c r="A48" s="12" t="s">
        <v>45</v>
      </c>
      <c r="B48" t="s">
        <v>82</v>
      </c>
      <c r="C48" s="17">
        <v>2.5000000000000001E-2</v>
      </c>
      <c r="D48" s="7">
        <f t="shared" si="0"/>
        <v>45.53</v>
      </c>
    </row>
    <row r="49" spans="1:8">
      <c r="A49" s="12" t="s">
        <v>48</v>
      </c>
      <c r="B49" t="s">
        <v>222</v>
      </c>
      <c r="C49" s="56">
        <v>0</v>
      </c>
      <c r="D49" s="49">
        <f t="shared" si="0"/>
        <v>0</v>
      </c>
    </row>
    <row r="50" spans="1:8">
      <c r="A50" s="12" t="s">
        <v>50</v>
      </c>
      <c r="B50" t="s">
        <v>84</v>
      </c>
      <c r="C50" s="17">
        <v>1.4999999999999999E-2</v>
      </c>
      <c r="D50" s="7">
        <f t="shared" si="0"/>
        <v>27.31</v>
      </c>
    </row>
    <row r="51" spans="1:8">
      <c r="A51" s="12" t="s">
        <v>53</v>
      </c>
      <c r="B51" t="s">
        <v>85</v>
      </c>
      <c r="C51" s="17">
        <v>0.01</v>
      </c>
      <c r="D51" s="7">
        <f t="shared" si="0"/>
        <v>18.21</v>
      </c>
    </row>
    <row r="52" spans="1:8">
      <c r="A52" s="12" t="s">
        <v>55</v>
      </c>
      <c r="B52" t="s">
        <v>86</v>
      </c>
      <c r="C52" s="17">
        <v>6.0000000000000001E-3</v>
      </c>
      <c r="D52" s="7">
        <f t="shared" si="0"/>
        <v>10.92</v>
      </c>
    </row>
    <row r="53" spans="1:8">
      <c r="A53" s="12" t="s">
        <v>87</v>
      </c>
      <c r="B53" t="s">
        <v>88</v>
      </c>
      <c r="C53" s="17">
        <v>2E-3</v>
      </c>
      <c r="D53" s="7">
        <f t="shared" si="0"/>
        <v>3.64</v>
      </c>
    </row>
    <row r="54" spans="1:8">
      <c r="A54" s="12" t="s">
        <v>89</v>
      </c>
      <c r="B54" t="s">
        <v>90</v>
      </c>
      <c r="C54" s="17">
        <v>0.08</v>
      </c>
      <c r="D54" s="7">
        <f t="shared" si="0"/>
        <v>145.69</v>
      </c>
    </row>
    <row r="55" spans="1:8">
      <c r="A55" s="12" t="s">
        <v>58</v>
      </c>
      <c r="C55" s="18">
        <f>SUM(C47:C54)</f>
        <v>0.33800000000000002</v>
      </c>
      <c r="D55" s="7">
        <f>TRUNC((SUM(D47:D54)),2)</f>
        <v>615.54</v>
      </c>
    </row>
    <row r="56" spans="1:8">
      <c r="C56" s="18"/>
      <c r="D56" s="7"/>
    </row>
    <row r="57" spans="1:8">
      <c r="A57" s="193" t="s">
        <v>95</v>
      </c>
      <c r="B57" s="193"/>
      <c r="C57" s="193"/>
      <c r="D57" s="193"/>
    </row>
    <row r="58" spans="1:8">
      <c r="A58" s="12" t="s">
        <v>96</v>
      </c>
      <c r="B58" t="s">
        <v>97</v>
      </c>
      <c r="C58" s="1" t="s">
        <v>18</v>
      </c>
      <c r="D58" s="1" t="s">
        <v>19</v>
      </c>
    </row>
    <row r="59" spans="1:8">
      <c r="A59" s="12" t="s">
        <v>42</v>
      </c>
      <c r="B59" t="s">
        <v>98</v>
      </c>
      <c r="C59" s="4"/>
      <c r="D59" s="49">
        <v>0</v>
      </c>
    </row>
    <row r="60" spans="1:8">
      <c r="A60" s="12" t="s">
        <v>45</v>
      </c>
      <c r="B60" t="s">
        <v>99</v>
      </c>
      <c r="C60" s="4" t="str">
        <f>C9</f>
        <v>CCT PB000113/2025</v>
      </c>
      <c r="D60" s="49">
        <f>Submódulo2.356_53112[[#This Row],[Valor]]</f>
        <v>540</v>
      </c>
    </row>
    <row r="61" spans="1:8">
      <c r="A61" s="12" t="s">
        <v>48</v>
      </c>
      <c r="B61" t="s">
        <v>100</v>
      </c>
      <c r="C61" s="4"/>
      <c r="D61" s="49">
        <v>0</v>
      </c>
    </row>
    <row r="62" spans="1:8">
      <c r="A62" s="12" t="s">
        <v>50</v>
      </c>
      <c r="B62" s="57" t="s">
        <v>223</v>
      </c>
      <c r="C62" s="58"/>
      <c r="D62" s="58">
        <v>0</v>
      </c>
      <c r="H62" s="16"/>
    </row>
    <row r="63" spans="1:8">
      <c r="A63" s="12" t="s">
        <v>53</v>
      </c>
      <c r="B63" t="s">
        <v>224</v>
      </c>
      <c r="C63" s="4" t="str">
        <f>C60</f>
        <v>CCT PB000113/2025</v>
      </c>
      <c r="D63" s="49">
        <v>25</v>
      </c>
    </row>
    <row r="64" spans="1:8">
      <c r="A64" s="12" t="s">
        <v>55</v>
      </c>
      <c r="B64" s="59" t="s">
        <v>225</v>
      </c>
      <c r="C64" s="4" t="str">
        <f>C9</f>
        <v>CCT PB000113/2025</v>
      </c>
      <c r="D64" s="49">
        <v>6</v>
      </c>
    </row>
    <row r="65" spans="1:4">
      <c r="A65" s="12" t="s">
        <v>87</v>
      </c>
      <c r="B65" s="59" t="s">
        <v>226</v>
      </c>
      <c r="C65" s="58" t="str">
        <f>C60</f>
        <v>CCT PB000113/2025</v>
      </c>
      <c r="D65" s="49">
        <v>50</v>
      </c>
    </row>
    <row r="66" spans="1:4">
      <c r="A66" s="12" t="s">
        <v>58</v>
      </c>
      <c r="D66" s="7">
        <f>TRUNC((SUM(D59:D65)),2)</f>
        <v>621</v>
      </c>
    </row>
    <row r="67" spans="1:4">
      <c r="D67" s="7"/>
    </row>
    <row r="68" spans="1:4">
      <c r="A68" s="193" t="s">
        <v>105</v>
      </c>
      <c r="B68" s="193"/>
      <c r="C68" s="193"/>
      <c r="D68" s="193"/>
    </row>
    <row r="69" spans="1:4">
      <c r="A69" s="12" t="s">
        <v>106</v>
      </c>
      <c r="B69" t="s">
        <v>107</v>
      </c>
      <c r="C69" s="1" t="s">
        <v>18</v>
      </c>
      <c r="D69" s="1" t="s">
        <v>19</v>
      </c>
    </row>
    <row r="70" spans="1:4">
      <c r="A70" s="12" t="s">
        <v>65</v>
      </c>
      <c r="B70" t="s">
        <v>66</v>
      </c>
      <c r="C70" s="1"/>
      <c r="D70" s="7">
        <f>D39</f>
        <v>296.47000000000003</v>
      </c>
    </row>
    <row r="71" spans="1:4">
      <c r="A71" s="12" t="s">
        <v>78</v>
      </c>
      <c r="B71" t="s">
        <v>79</v>
      </c>
      <c r="C71" s="1"/>
      <c r="D71" s="7">
        <f>D55</f>
        <v>615.54</v>
      </c>
    </row>
    <row r="72" spans="1:4">
      <c r="A72" s="12" t="s">
        <v>96</v>
      </c>
      <c r="B72" t="s">
        <v>97</v>
      </c>
      <c r="C72" s="1"/>
      <c r="D72" s="7">
        <f>D66</f>
        <v>621</v>
      </c>
    </row>
    <row r="73" spans="1:4">
      <c r="A73" s="12" t="s">
        <v>58</v>
      </c>
      <c r="C73" s="1"/>
      <c r="D73" s="7">
        <f>TRUNC((SUM(D70:D72)),2)</f>
        <v>1533.01</v>
      </c>
    </row>
    <row r="75" spans="1:4">
      <c r="A75" s="198" t="s">
        <v>108</v>
      </c>
      <c r="B75" s="198"/>
      <c r="C75" s="198"/>
      <c r="D75" s="198"/>
    </row>
    <row r="76" spans="1:4">
      <c r="A76" s="12" t="s">
        <v>109</v>
      </c>
      <c r="B76" t="s">
        <v>110</v>
      </c>
      <c r="C76" s="1" t="s">
        <v>38</v>
      </c>
      <c r="D76" s="1" t="s">
        <v>19</v>
      </c>
    </row>
    <row r="77" spans="1:4">
      <c r="A77" s="12" t="s">
        <v>42</v>
      </c>
      <c r="B77" t="s">
        <v>111</v>
      </c>
      <c r="C77" s="56">
        <f>((1/12)*2%)</f>
        <v>1.6666666666666666E-3</v>
      </c>
      <c r="D77" s="49">
        <f>TRUNC(($D$31*C77),2)</f>
        <v>2.54</v>
      </c>
    </row>
    <row r="78" spans="1:4">
      <c r="A78" s="12" t="s">
        <v>45</v>
      </c>
      <c r="B78" t="s">
        <v>112</v>
      </c>
      <c r="C78" s="61">
        <v>0.08</v>
      </c>
      <c r="D78" s="7">
        <f>TRUNC(($D$77*C78),2)</f>
        <v>0.2</v>
      </c>
    </row>
    <row r="79" spans="1:4" ht="30">
      <c r="A79" s="12" t="s">
        <v>48</v>
      </c>
      <c r="B79" s="95" t="s">
        <v>113</v>
      </c>
      <c r="C79" s="63">
        <f>(0.08*0.4*0.02)</f>
        <v>6.4000000000000005E-4</v>
      </c>
      <c r="D79" s="58">
        <f>TRUNC(($D$31*C79),2)</f>
        <v>0.97</v>
      </c>
    </row>
    <row r="80" spans="1:4">
      <c r="A80" s="12" t="s">
        <v>50</v>
      </c>
      <c r="B80" t="s">
        <v>114</v>
      </c>
      <c r="C80" s="61">
        <f>(((7/30)/12)*0.98)</f>
        <v>1.9055555555555555E-2</v>
      </c>
      <c r="D80" s="7">
        <f>TRUNC(($D$31*C80),2)</f>
        <v>29.05</v>
      </c>
    </row>
    <row r="81" spans="1:4" ht="30">
      <c r="A81" s="12" t="s">
        <v>53</v>
      </c>
      <c r="B81" s="95" t="s">
        <v>227</v>
      </c>
      <c r="C81" s="63">
        <f>C55</f>
        <v>0.33800000000000002</v>
      </c>
      <c r="D81" s="58">
        <f>TRUNC(($D$80*C81),2)</f>
        <v>9.81</v>
      </c>
    </row>
    <row r="82" spans="1:4" ht="30">
      <c r="A82" s="12" t="s">
        <v>55</v>
      </c>
      <c r="B82" s="95" t="s">
        <v>115</v>
      </c>
      <c r="C82" s="63">
        <f>(0.08*0.4*0.98)</f>
        <v>3.1359999999999999E-2</v>
      </c>
      <c r="D82" s="58">
        <f>TRUNC(($D$31*C82),2)</f>
        <v>47.81</v>
      </c>
    </row>
    <row r="83" spans="1:4">
      <c r="A83" s="12" t="s">
        <v>58</v>
      </c>
      <c r="C83" s="61">
        <f>SUM(C77:C82)</f>
        <v>0.47072222222222221</v>
      </c>
      <c r="D83" s="7">
        <f>TRUNC((SUM(D77:D82)),2)</f>
        <v>90.38</v>
      </c>
    </row>
    <row r="84" spans="1:4">
      <c r="D84" s="7"/>
    </row>
    <row r="85" spans="1:4">
      <c r="A85" s="206" t="s">
        <v>228</v>
      </c>
      <c r="B85" s="206"/>
      <c r="C85" s="52" t="s">
        <v>219</v>
      </c>
      <c r="D85" s="53">
        <f>D31</f>
        <v>1524.77</v>
      </c>
    </row>
    <row r="86" spans="1:4">
      <c r="A86" s="206"/>
      <c r="B86" s="206"/>
      <c r="C86" s="54" t="s">
        <v>229</v>
      </c>
      <c r="D86" s="53">
        <f>D73</f>
        <v>1533.01</v>
      </c>
    </row>
    <row r="87" spans="1:4">
      <c r="A87" s="206"/>
      <c r="B87" s="206"/>
      <c r="C87" s="52" t="s">
        <v>230</v>
      </c>
      <c r="D87" s="53">
        <f>D83</f>
        <v>90.38</v>
      </c>
    </row>
    <row r="88" spans="1:4">
      <c r="A88" s="206"/>
      <c r="B88" s="206"/>
      <c r="C88" s="54" t="s">
        <v>221</v>
      </c>
      <c r="D88" s="55">
        <f>TRUNC((SUM(D85:D87)),2)</f>
        <v>3148.16</v>
      </c>
    </row>
    <row r="89" spans="1:4">
      <c r="D89" s="7"/>
    </row>
    <row r="90" spans="1:4" ht="35.1" customHeight="1">
      <c r="A90" s="207" t="s">
        <v>127</v>
      </c>
      <c r="B90" s="207"/>
      <c r="C90" s="207"/>
      <c r="D90" s="207"/>
    </row>
    <row r="91" spans="1:4">
      <c r="A91" s="193" t="s">
        <v>128</v>
      </c>
      <c r="B91" s="193"/>
      <c r="C91" s="193"/>
      <c r="D91" s="193"/>
    </row>
    <row r="92" spans="1:4">
      <c r="A92" s="12" t="s">
        <v>129</v>
      </c>
      <c r="B92" t="s">
        <v>130</v>
      </c>
      <c r="C92" s="1" t="s">
        <v>38</v>
      </c>
      <c r="D92" s="1" t="s">
        <v>19</v>
      </c>
    </row>
    <row r="93" spans="1:4">
      <c r="A93" s="12" t="s">
        <v>42</v>
      </c>
      <c r="B93" t="s">
        <v>132</v>
      </c>
      <c r="C93" s="61">
        <f>(((1+1/3)/12)/12)+((1/12)/12)</f>
        <v>1.6203703703703703E-2</v>
      </c>
      <c r="D93" s="7">
        <f>TRUNC(($D$88*C93),2)</f>
        <v>51.01</v>
      </c>
    </row>
    <row r="94" spans="1:4">
      <c r="A94" s="12" t="s">
        <v>45</v>
      </c>
      <c r="B94" t="s">
        <v>133</v>
      </c>
      <c r="C94" s="56">
        <f>((5/30)/12)</f>
        <v>1.3888888888888888E-2</v>
      </c>
      <c r="D94" s="58">
        <f>TRUNC(($D$88*C94),2)</f>
        <v>43.72</v>
      </c>
    </row>
    <row r="95" spans="1:4">
      <c r="A95" s="12" t="s">
        <v>48</v>
      </c>
      <c r="B95" t="s">
        <v>134</v>
      </c>
      <c r="C95" s="56">
        <f>((5/30)/12)*0.02</f>
        <v>2.7777777777777778E-4</v>
      </c>
      <c r="D95" s="58">
        <f>TRUNC(($D$88*C95),2)</f>
        <v>0.87</v>
      </c>
    </row>
    <row r="96" spans="1:4" ht="30">
      <c r="A96" s="12" t="s">
        <v>50</v>
      </c>
      <c r="B96" s="95" t="s">
        <v>135</v>
      </c>
      <c r="C96" s="63">
        <f>((15/30)/12)*0.08</f>
        <v>3.3333333333333331E-3</v>
      </c>
      <c r="D96" s="58">
        <f>TRUNC(($D$88*C96),2)</f>
        <v>10.49</v>
      </c>
    </row>
    <row r="97" spans="1:4">
      <c r="A97" s="12" t="s">
        <v>53</v>
      </c>
      <c r="B97" t="s">
        <v>136</v>
      </c>
      <c r="C97" s="56">
        <f>((1+1/3)/12)*0.00001*((4/12))</f>
        <v>3.7037037037037031E-7</v>
      </c>
      <c r="D97" s="58">
        <f>TRUNC(($D$88*C97),2)</f>
        <v>0</v>
      </c>
    </row>
    <row r="98" spans="1:4">
      <c r="A98" s="12" t="s">
        <v>55</v>
      </c>
      <c r="B98" s="95" t="s">
        <v>231</v>
      </c>
      <c r="C98" s="96">
        <v>0</v>
      </c>
      <c r="D98" s="58">
        <f>TRUNC($D$88*C98)</f>
        <v>0</v>
      </c>
    </row>
    <row r="99" spans="1:4">
      <c r="A99" s="12" t="s">
        <v>58</v>
      </c>
      <c r="C99" s="61">
        <f>SUBTOTAL(109,Submódulo4.159_13724[Percentual])</f>
        <v>3.3704074074074074E-2</v>
      </c>
      <c r="D99" s="7">
        <f>TRUNC((SUM(D93:D98)),2)</f>
        <v>106.09</v>
      </c>
    </row>
    <row r="100" spans="1:4">
      <c r="C100" s="1"/>
      <c r="D100" s="7"/>
    </row>
    <row r="101" spans="1:4">
      <c r="A101" s="193" t="s">
        <v>144</v>
      </c>
      <c r="B101" s="193"/>
      <c r="C101" s="193"/>
      <c r="D101" s="193"/>
    </row>
    <row r="102" spans="1:4">
      <c r="A102" s="12" t="s">
        <v>145</v>
      </c>
      <c r="B102" t="s">
        <v>146</v>
      </c>
      <c r="C102" s="1" t="s">
        <v>18</v>
      </c>
      <c r="D102" s="1" t="s">
        <v>19</v>
      </c>
    </row>
    <row r="103" spans="1:4" ht="105">
      <c r="A103" s="12" t="s">
        <v>42</v>
      </c>
      <c r="B103" s="70" t="s">
        <v>147</v>
      </c>
      <c r="C103" s="71" t="s">
        <v>232</v>
      </c>
      <c r="D103" s="72" t="s">
        <v>233</v>
      </c>
    </row>
    <row r="104" spans="1:4">
      <c r="A104" s="12" t="s">
        <v>58</v>
      </c>
      <c r="C104" s="73"/>
      <c r="D104" s="74" t="str">
        <f>D103</f>
        <v>*=TRUNCAR(($D$86/220)*(1*(365/12))/2)</v>
      </c>
    </row>
    <row r="106" spans="1:4">
      <c r="A106" s="193" t="s">
        <v>148</v>
      </c>
      <c r="B106" s="193"/>
      <c r="C106" s="193"/>
      <c r="D106" s="193"/>
    </row>
    <row r="107" spans="1:4">
      <c r="A107" s="12" t="s">
        <v>149</v>
      </c>
      <c r="B107" t="s">
        <v>150</v>
      </c>
      <c r="C107" s="1" t="s">
        <v>18</v>
      </c>
      <c r="D107" s="1" t="s">
        <v>19</v>
      </c>
    </row>
    <row r="108" spans="1:4">
      <c r="A108" s="12" t="s">
        <v>129</v>
      </c>
      <c r="B108" t="s">
        <v>130</v>
      </c>
      <c r="D108" s="49">
        <f>D99</f>
        <v>106.09</v>
      </c>
    </row>
    <row r="109" spans="1:4">
      <c r="A109" s="12" t="s">
        <v>145</v>
      </c>
      <c r="B109" t="s">
        <v>151</v>
      </c>
      <c r="D109" s="75" t="str">
        <f>Submódulo4.260_13826[[#Totals],[Valor]]</f>
        <v>*=TRUNCAR(($D$86/220)*(1*(365/12))/2)</v>
      </c>
    </row>
    <row r="110" spans="1:4" ht="75">
      <c r="A110" s="12" t="s">
        <v>58</v>
      </c>
      <c r="B110" s="16"/>
      <c r="C110" s="71" t="s">
        <v>234</v>
      </c>
      <c r="D110" s="76">
        <f>TRUNC((SUM(D108:D109)),2)</f>
        <v>106.09</v>
      </c>
    </row>
    <row r="112" spans="1:4">
      <c r="A112" s="198" t="s">
        <v>152</v>
      </c>
      <c r="B112" s="198"/>
      <c r="C112" s="198"/>
      <c r="D112" s="198"/>
    </row>
    <row r="113" spans="1:11" ht="30">
      <c r="A113" s="12" t="s">
        <v>153</v>
      </c>
      <c r="B113" s="12" t="s">
        <v>154</v>
      </c>
      <c r="C113" s="12" t="s">
        <v>18</v>
      </c>
      <c r="D113" s="12" t="s">
        <v>19</v>
      </c>
      <c r="H113" s="77" t="s">
        <v>235</v>
      </c>
      <c r="I113" s="78" t="s">
        <v>236</v>
      </c>
      <c r="J113" s="78" t="s">
        <v>237</v>
      </c>
      <c r="K113" s="78" t="s">
        <v>238</v>
      </c>
    </row>
    <row r="114" spans="1:11">
      <c r="A114" s="12" t="s">
        <v>42</v>
      </c>
      <c r="B114" t="s">
        <v>239</v>
      </c>
      <c r="D114" s="79">
        <f>F114</f>
        <v>0</v>
      </c>
      <c r="F114">
        <f t="array" ref="F114:G114">'Uniformes e EPI'!G130:H130</f>
        <v>0</v>
      </c>
      <c r="G114">
        <v>0</v>
      </c>
      <c r="H114" s="80" t="s">
        <v>240</v>
      </c>
      <c r="I114" s="81">
        <v>0</v>
      </c>
      <c r="J114" s="82">
        <v>92</v>
      </c>
      <c r="K114" s="82">
        <f>TRUNC(J114*I114,2)</f>
        <v>0</v>
      </c>
    </row>
    <row r="115" spans="1:11">
      <c r="A115" s="12" t="s">
        <v>45</v>
      </c>
      <c r="B115" t="s">
        <v>241</v>
      </c>
      <c r="D115" s="79">
        <v>0</v>
      </c>
      <c r="H115" s="83" t="s">
        <v>242</v>
      </c>
      <c r="I115" s="84">
        <v>0</v>
      </c>
      <c r="J115" s="53">
        <v>184</v>
      </c>
      <c r="K115" s="82">
        <f>TRUNC(J115*I115,2)</f>
        <v>0</v>
      </c>
    </row>
    <row r="116" spans="1:11">
      <c r="A116" s="12" t="s">
        <v>48</v>
      </c>
      <c r="B116" t="s">
        <v>156</v>
      </c>
      <c r="D116" s="79">
        <v>0</v>
      </c>
      <c r="H116" s="208" t="s">
        <v>221</v>
      </c>
      <c r="I116" s="208"/>
      <c r="J116" s="210">
        <f>TRUNC(SUM(K114:K115),2)</f>
        <v>0</v>
      </c>
      <c r="K116" s="210"/>
    </row>
    <row r="117" spans="1:11">
      <c r="A117" s="12" t="s">
        <v>50</v>
      </c>
      <c r="B117" t="s">
        <v>157</v>
      </c>
      <c r="D117" s="79">
        <v>0</v>
      </c>
      <c r="H117" s="208" t="s">
        <v>243</v>
      </c>
      <c r="I117" s="208"/>
      <c r="J117" s="210">
        <f>TRUNC(J116/12,2)</f>
        <v>0</v>
      </c>
      <c r="K117" s="210"/>
    </row>
    <row r="118" spans="1:11" ht="15" customHeight="1">
      <c r="A118" s="12" t="s">
        <v>53</v>
      </c>
      <c r="B118" t="s">
        <v>244</v>
      </c>
      <c r="D118" s="79">
        <f>J117</f>
        <v>0</v>
      </c>
      <c r="H118" s="212" t="str">
        <f>Pedreiro!H118</f>
        <v>* Valores estabelecidos em conformidade com as disposição da CCT n.° PB 000113/2025</v>
      </c>
      <c r="I118" s="212"/>
      <c r="J118" s="212"/>
      <c r="K118" s="212"/>
    </row>
    <row r="119" spans="1:11">
      <c r="A119" s="12" t="s">
        <v>58</v>
      </c>
      <c r="D119" s="65">
        <f>TRUNC(SUM(D114:D118),2)</f>
        <v>0</v>
      </c>
      <c r="H119" s="212"/>
      <c r="I119" s="212"/>
      <c r="J119" s="212"/>
      <c r="K119" s="212"/>
    </row>
    <row r="121" spans="1:11">
      <c r="A121" s="206" t="s">
        <v>245</v>
      </c>
      <c r="B121" s="206"/>
      <c r="C121" s="52" t="s">
        <v>219</v>
      </c>
      <c r="D121" s="53">
        <f>D31</f>
        <v>1524.77</v>
      </c>
    </row>
    <row r="122" spans="1:11">
      <c r="A122" s="206"/>
      <c r="B122" s="206"/>
      <c r="C122" s="54" t="s">
        <v>229</v>
      </c>
      <c r="D122" s="53">
        <f>D73</f>
        <v>1533.01</v>
      </c>
    </row>
    <row r="123" spans="1:11">
      <c r="A123" s="206"/>
      <c r="B123" s="206"/>
      <c r="C123" s="52" t="s">
        <v>230</v>
      </c>
      <c r="D123" s="53">
        <f>D83</f>
        <v>90.38</v>
      </c>
    </row>
    <row r="124" spans="1:11">
      <c r="A124" s="206"/>
      <c r="B124" s="206"/>
      <c r="C124" s="54" t="s">
        <v>246</v>
      </c>
      <c r="D124" s="53">
        <f>D110</f>
        <v>106.09</v>
      </c>
    </row>
    <row r="125" spans="1:11">
      <c r="A125" s="206"/>
      <c r="B125" s="206"/>
      <c r="C125" s="52" t="s">
        <v>247</v>
      </c>
      <c r="D125" s="53">
        <f>D119</f>
        <v>0</v>
      </c>
    </row>
    <row r="126" spans="1:11">
      <c r="A126" s="206"/>
      <c r="B126" s="206"/>
      <c r="C126" s="54" t="s">
        <v>221</v>
      </c>
      <c r="D126" s="55">
        <f>TRUNC((SUM(D121:D125)),2)</f>
        <v>3254.25</v>
      </c>
    </row>
    <row r="128" spans="1:11">
      <c r="A128" s="198" t="s">
        <v>164</v>
      </c>
      <c r="B128" s="198"/>
      <c r="C128" s="198"/>
      <c r="D128" s="198"/>
    </row>
    <row r="129" spans="1:9">
      <c r="A129" s="12" t="s">
        <v>165</v>
      </c>
      <c r="B129" t="s">
        <v>166</v>
      </c>
      <c r="C129" s="1" t="s">
        <v>38</v>
      </c>
      <c r="D129" s="1" t="s">
        <v>19</v>
      </c>
      <c r="H129" s="209" t="s">
        <v>248</v>
      </c>
      <c r="I129" s="209"/>
    </row>
    <row r="130" spans="1:9">
      <c r="A130" s="12" t="s">
        <v>42</v>
      </c>
      <c r="B130" t="s">
        <v>167</v>
      </c>
      <c r="C130" s="56">
        <f>Módulo663_59105[[#This Row],[Percentual]]</f>
        <v>0</v>
      </c>
      <c r="D130" s="49">
        <f>TRUNC(($D$126*C130),2)</f>
        <v>0</v>
      </c>
      <c r="H130" s="80" t="s">
        <v>249</v>
      </c>
      <c r="I130" s="63">
        <f>C132</f>
        <v>0.14250000000000002</v>
      </c>
    </row>
    <row r="131" spans="1:9">
      <c r="A131" s="12" t="s">
        <v>45</v>
      </c>
      <c r="B131" t="s">
        <v>59</v>
      </c>
      <c r="C131" s="56">
        <f>Módulo663_59105[[#This Row],[Percentual]]</f>
        <v>0</v>
      </c>
      <c r="D131" s="49">
        <f>TRUNC((C131*(D126+D130)),2)</f>
        <v>0</v>
      </c>
      <c r="H131" s="86" t="s">
        <v>250</v>
      </c>
      <c r="I131" s="87">
        <f>TRUNC(SUM(D126,D130,D131),2)</f>
        <v>3254.25</v>
      </c>
    </row>
    <row r="132" spans="1:9">
      <c r="A132" s="12" t="s">
        <v>48</v>
      </c>
      <c r="B132" t="s">
        <v>168</v>
      </c>
      <c r="C132" s="56">
        <f>SUM(C133:C135)</f>
        <v>0.14250000000000002</v>
      </c>
      <c r="D132" s="49">
        <f>TRUNC((SUM(D133:D135)),2)</f>
        <v>507.62</v>
      </c>
      <c r="H132" s="80" t="s">
        <v>251</v>
      </c>
      <c r="I132" s="88">
        <f>(100-8.65)/100</f>
        <v>0.91349999999999998</v>
      </c>
    </row>
    <row r="133" spans="1:9">
      <c r="B133" t="s">
        <v>252</v>
      </c>
      <c r="C133" s="56">
        <f>Módulo663_59105[[#This Row],[Percentual]]</f>
        <v>1.6500000000000001E-2</v>
      </c>
      <c r="D133" s="49">
        <f>TRUNC(($I$133*C133),2)</f>
        <v>58.77</v>
      </c>
      <c r="H133" s="86" t="s">
        <v>248</v>
      </c>
      <c r="I133" s="87">
        <f>TRUNC((I131/I132),2)</f>
        <v>3562.39</v>
      </c>
    </row>
    <row r="134" spans="1:9">
      <c r="B134" t="s">
        <v>253</v>
      </c>
      <c r="C134" s="56">
        <f>Módulo663_59105[[#This Row],[Percentual]]</f>
        <v>7.5999999999999998E-2</v>
      </c>
      <c r="D134" s="49">
        <f>TRUNC(($I$133*C134),2)</f>
        <v>270.74</v>
      </c>
    </row>
    <row r="135" spans="1:9">
      <c r="B135" t="s">
        <v>254</v>
      </c>
      <c r="C135" s="56">
        <f>Módulo663_59105[[#This Row],[Percentual]]</f>
        <v>0.05</v>
      </c>
      <c r="D135" s="49">
        <f>TRUNC(($I$133*C135),2)</f>
        <v>178.11</v>
      </c>
    </row>
    <row r="136" spans="1:9">
      <c r="A136" s="12" t="s">
        <v>58</v>
      </c>
      <c r="C136" s="1"/>
      <c r="D136" s="7">
        <f>TRUNC(SUM(D130:D132),2)</f>
        <v>507.62</v>
      </c>
    </row>
    <row r="137" spans="1:9">
      <c r="C137" s="1"/>
      <c r="D137" s="7"/>
    </row>
    <row r="139" spans="1:9">
      <c r="A139" s="198" t="s">
        <v>172</v>
      </c>
      <c r="B139" s="198"/>
      <c r="C139" s="198"/>
      <c r="D139" s="198"/>
    </row>
    <row r="140" spans="1:9">
      <c r="A140" s="12" t="s">
        <v>16</v>
      </c>
      <c r="B140" s="1" t="s">
        <v>173</v>
      </c>
      <c r="C140" s="1" t="s">
        <v>102</v>
      </c>
      <c r="D140" s="1" t="s">
        <v>19</v>
      </c>
    </row>
    <row r="141" spans="1:9">
      <c r="A141" s="12" t="s">
        <v>42</v>
      </c>
      <c r="B141" t="s">
        <v>36</v>
      </c>
      <c r="D141" s="109">
        <f>D31</f>
        <v>1524.77</v>
      </c>
    </row>
    <row r="142" spans="1:9">
      <c r="A142" s="12" t="s">
        <v>45</v>
      </c>
      <c r="B142" t="s">
        <v>61</v>
      </c>
      <c r="D142" s="109">
        <f>D73</f>
        <v>1533.01</v>
      </c>
    </row>
    <row r="143" spans="1:9">
      <c r="A143" s="12" t="s">
        <v>48</v>
      </c>
      <c r="B143" t="s">
        <v>108</v>
      </c>
      <c r="D143" s="109">
        <f>D83</f>
        <v>90.38</v>
      </c>
    </row>
    <row r="144" spans="1:9">
      <c r="A144" s="12" t="s">
        <v>50</v>
      </c>
      <c r="B144" t="s">
        <v>174</v>
      </c>
      <c r="D144" s="109">
        <f>D110</f>
        <v>106.09</v>
      </c>
    </row>
    <row r="145" spans="1:4">
      <c r="A145" s="12" t="s">
        <v>53</v>
      </c>
      <c r="B145" t="s">
        <v>152</v>
      </c>
      <c r="D145" s="109">
        <f>D119</f>
        <v>0</v>
      </c>
    </row>
    <row r="146" spans="1:4">
      <c r="B146" s="89" t="s">
        <v>175</v>
      </c>
      <c r="D146" s="109">
        <f>TRUNC(SUM(D141:D145),2)</f>
        <v>3254.25</v>
      </c>
    </row>
    <row r="147" spans="1:4">
      <c r="A147" s="12" t="s">
        <v>55</v>
      </c>
      <c r="B147" t="s">
        <v>164</v>
      </c>
      <c r="D147" s="109">
        <f>D136</f>
        <v>507.62</v>
      </c>
    </row>
    <row r="148" spans="1:4" ht="18.75">
      <c r="A148" s="101"/>
      <c r="B148" s="91" t="s">
        <v>256</v>
      </c>
      <c r="C148" s="20"/>
      <c r="D148" s="110">
        <f>TRUNC((SUM(D141:D145)+D147),2)</f>
        <v>3761.87</v>
      </c>
    </row>
    <row r="149" spans="1:4">
      <c r="D149" s="111"/>
    </row>
  </sheetData>
  <mergeCells count="38">
    <mergeCell ref="A128:D128"/>
    <mergeCell ref="H129:I129"/>
    <mergeCell ref="A139:D139"/>
    <mergeCell ref="J116:K116"/>
    <mergeCell ref="H117:I117"/>
    <mergeCell ref="J117:K117"/>
    <mergeCell ref="H118:K119"/>
    <mergeCell ref="A121:B126"/>
    <mergeCell ref="A91:D91"/>
    <mergeCell ref="A101:D101"/>
    <mergeCell ref="A106:D106"/>
    <mergeCell ref="A112:D112"/>
    <mergeCell ref="H116:I116"/>
    <mergeCell ref="A57:D57"/>
    <mergeCell ref="A68:D68"/>
    <mergeCell ref="A75:D75"/>
    <mergeCell ref="A85:B88"/>
    <mergeCell ref="A90:D90"/>
    <mergeCell ref="H31:I31"/>
    <mergeCell ref="A33:D33"/>
    <mergeCell ref="A35:D35"/>
    <mergeCell ref="A41:B43"/>
    <mergeCell ref="A45:D45"/>
    <mergeCell ref="A14:B14"/>
    <mergeCell ref="A15:D15"/>
    <mergeCell ref="H15:I15"/>
    <mergeCell ref="H22:I22"/>
    <mergeCell ref="A23:D23"/>
    <mergeCell ref="C9:D9"/>
    <mergeCell ref="C10:D10"/>
    <mergeCell ref="A11:D11"/>
    <mergeCell ref="A12:B12"/>
    <mergeCell ref="A13:B13"/>
    <mergeCell ref="A2:D2"/>
    <mergeCell ref="A3:D3"/>
    <mergeCell ref="A6:D6"/>
    <mergeCell ref="C7:D7"/>
    <mergeCell ref="C8:D8"/>
  </mergeCells>
  <pageMargins left="0.25" right="0.25" top="0.75" bottom="0.75" header="0.511811023622047" footer="0.511811023622047"/>
  <pageSetup paperSize="9" scale="50" fitToHeight="0" orientation="portrait" horizontalDpi="300" verticalDpi="300"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K148"/>
  <sheetViews>
    <sheetView view="pageBreakPreview" topLeftCell="B121" zoomScaleNormal="100" workbookViewId="0">
      <selection activeCell="H120" sqref="H120"/>
    </sheetView>
  </sheetViews>
  <sheetFormatPr defaultColWidth="9.140625" defaultRowHeight="15"/>
  <cols>
    <col min="1" max="1" width="10.5703125" style="12" customWidth="1"/>
    <col min="2" max="2" width="54.28515625" customWidth="1"/>
    <col min="3" max="3" width="23.85546875" customWidth="1"/>
    <col min="4" max="4" width="41" customWidth="1"/>
    <col min="6" max="7" width="11.5703125" hidden="1" customWidth="1"/>
    <col min="8" max="8" width="22.85546875" customWidth="1"/>
    <col min="9" max="9" width="13.28515625" customWidth="1"/>
    <col min="10" max="10" width="12" customWidth="1"/>
    <col min="11" max="11" width="12.28515625" customWidth="1"/>
  </cols>
  <sheetData>
    <row r="2" spans="1:9" ht="18.75">
      <c r="A2" s="196" t="s">
        <v>194</v>
      </c>
      <c r="B2" s="196"/>
      <c r="C2" s="196"/>
      <c r="D2" s="196"/>
    </row>
    <row r="3" spans="1:9">
      <c r="A3" s="213" t="str">
        <f>Pedreiro!A3</f>
        <v>Processo Administrativo n.° 23324.000830.2025-46</v>
      </c>
      <c r="B3" s="213"/>
      <c r="C3" s="213"/>
      <c r="D3" s="213"/>
    </row>
    <row r="4" spans="1:9" ht="21" customHeight="1">
      <c r="A4" s="102" t="s">
        <v>195</v>
      </c>
      <c r="B4" s="103" t="s">
        <v>392</v>
      </c>
      <c r="C4" s="34"/>
      <c r="D4" s="34"/>
    </row>
    <row r="5" spans="1:9">
      <c r="A5" s="10"/>
      <c r="B5" s="36"/>
      <c r="C5" s="36"/>
      <c r="D5" s="36"/>
    </row>
    <row r="6" spans="1:9">
      <c r="A6" s="198" t="s">
        <v>196</v>
      </c>
      <c r="B6" s="198"/>
      <c r="C6" s="198"/>
      <c r="D6" s="198"/>
    </row>
    <row r="7" spans="1:9">
      <c r="A7" s="37" t="s">
        <v>42</v>
      </c>
      <c r="B7" s="38" t="s">
        <v>197</v>
      </c>
      <c r="C7" s="199" t="s">
        <v>393</v>
      </c>
      <c r="D7" s="199"/>
    </row>
    <row r="8" spans="1:9">
      <c r="A8" s="39" t="s">
        <v>45</v>
      </c>
      <c r="B8" s="40" t="s">
        <v>199</v>
      </c>
      <c r="C8" s="200" t="s">
        <v>200</v>
      </c>
      <c r="D8" s="200"/>
    </row>
    <row r="9" spans="1:9">
      <c r="A9" s="42" t="s">
        <v>48</v>
      </c>
      <c r="B9" s="43" t="s">
        <v>201</v>
      </c>
      <c r="C9" s="200" t="str">
        <f>Pedreiro!C9</f>
        <v>CCT PB000113/2025</v>
      </c>
      <c r="D9" s="200"/>
    </row>
    <row r="10" spans="1:9">
      <c r="A10" s="39" t="s">
        <v>53</v>
      </c>
      <c r="B10" s="40" t="s">
        <v>202</v>
      </c>
      <c r="C10" s="200" t="s">
        <v>203</v>
      </c>
      <c r="D10" s="200"/>
    </row>
    <row r="11" spans="1:9">
      <c r="A11" s="202" t="s">
        <v>204</v>
      </c>
      <c r="B11" s="202"/>
      <c r="C11" s="202"/>
      <c r="D11" s="202"/>
    </row>
    <row r="12" spans="1:9" ht="15" customHeight="1">
      <c r="A12" s="203" t="s">
        <v>205</v>
      </c>
      <c r="B12" s="203"/>
      <c r="C12" s="44" t="s">
        <v>206</v>
      </c>
      <c r="D12" s="45" t="s">
        <v>207</v>
      </c>
    </row>
    <row r="13" spans="1:9">
      <c r="A13" s="204" t="s">
        <v>274</v>
      </c>
      <c r="B13" s="204"/>
      <c r="C13" s="41" t="s">
        <v>209</v>
      </c>
      <c r="D13" s="46">
        <v>6</v>
      </c>
    </row>
    <row r="14" spans="1:9">
      <c r="A14" s="205"/>
      <c r="B14" s="205"/>
      <c r="C14" s="41"/>
      <c r="D14" s="47"/>
    </row>
    <row r="15" spans="1:9">
      <c r="A15" s="202" t="s">
        <v>14</v>
      </c>
      <c r="B15" s="202"/>
      <c r="C15" s="202"/>
      <c r="D15" s="202"/>
      <c r="H15" s="190"/>
      <c r="I15" s="190"/>
    </row>
    <row r="16" spans="1:9">
      <c r="A16" s="12" t="s">
        <v>16</v>
      </c>
      <c r="B16" t="s">
        <v>17</v>
      </c>
      <c r="C16" s="1" t="s">
        <v>18</v>
      </c>
      <c r="D16" s="1" t="s">
        <v>19</v>
      </c>
    </row>
    <row r="17" spans="1:9">
      <c r="A17" s="12">
        <v>1</v>
      </c>
      <c r="B17" t="s">
        <v>20</v>
      </c>
      <c r="C17" s="4" t="s">
        <v>102</v>
      </c>
      <c r="D17" s="4" t="str">
        <f>A13</f>
        <v>Recepcionista Secretária</v>
      </c>
    </row>
    <row r="18" spans="1:9">
      <c r="A18" s="12">
        <v>2</v>
      </c>
      <c r="B18" t="s">
        <v>23</v>
      </c>
      <c r="C18" s="4" t="s">
        <v>210</v>
      </c>
      <c r="D18" s="4" t="s">
        <v>275</v>
      </c>
    </row>
    <row r="19" spans="1:9">
      <c r="A19" s="12">
        <v>3</v>
      </c>
      <c r="B19" t="s">
        <v>26</v>
      </c>
      <c r="C19" s="107" t="str">
        <f>C9</f>
        <v>CCT PB000113/2025</v>
      </c>
      <c r="D19" s="49">
        <v>1536.73</v>
      </c>
    </row>
    <row r="20" spans="1:9">
      <c r="A20" s="12">
        <v>4</v>
      </c>
      <c r="B20" t="s">
        <v>29</v>
      </c>
      <c r="C20" s="107" t="str">
        <f>C9</f>
        <v>CCT PB000113/2025</v>
      </c>
      <c r="D20" s="4" t="s">
        <v>212</v>
      </c>
    </row>
    <row r="21" spans="1:9">
      <c r="A21" s="12">
        <v>5</v>
      </c>
      <c r="B21" t="s">
        <v>33</v>
      </c>
      <c r="C21" s="107" t="str">
        <f>C9</f>
        <v>CCT PB000113/2025</v>
      </c>
      <c r="D21" s="50" t="s">
        <v>213</v>
      </c>
    </row>
    <row r="22" spans="1:9">
      <c r="H22" s="190"/>
      <c r="I22" s="190"/>
    </row>
    <row r="23" spans="1:9">
      <c r="A23" s="198" t="s">
        <v>36</v>
      </c>
      <c r="B23" s="198"/>
      <c r="C23" s="198"/>
      <c r="D23" s="198"/>
    </row>
    <row r="24" spans="1:9">
      <c r="A24" s="12" t="s">
        <v>39</v>
      </c>
      <c r="B24" t="s">
        <v>40</v>
      </c>
      <c r="C24" s="1" t="s">
        <v>18</v>
      </c>
      <c r="D24" s="1" t="s">
        <v>19</v>
      </c>
      <c r="I24" s="6"/>
    </row>
    <row r="25" spans="1:9">
      <c r="A25" s="12" t="s">
        <v>42</v>
      </c>
      <c r="B25" t="s">
        <v>43</v>
      </c>
      <c r="C25" s="4" t="s">
        <v>271</v>
      </c>
      <c r="D25" s="49">
        <f>D19</f>
        <v>1536.73</v>
      </c>
      <c r="I25" s="6"/>
    </row>
    <row r="26" spans="1:9">
      <c r="A26" s="12" t="s">
        <v>45</v>
      </c>
      <c r="B26" t="s">
        <v>215</v>
      </c>
      <c r="C26" s="4"/>
      <c r="D26" s="49">
        <v>0</v>
      </c>
      <c r="I26" s="6"/>
    </row>
    <row r="27" spans="1:9">
      <c r="A27" s="12" t="s">
        <v>48</v>
      </c>
      <c r="B27" t="s">
        <v>216</v>
      </c>
      <c r="C27" s="4"/>
      <c r="D27" s="49">
        <v>0</v>
      </c>
    </row>
    <row r="28" spans="1:9">
      <c r="A28" s="12" t="s">
        <v>50</v>
      </c>
      <c r="B28" t="s">
        <v>51</v>
      </c>
      <c r="C28" s="4"/>
      <c r="D28" s="49">
        <v>0</v>
      </c>
    </row>
    <row r="29" spans="1:9">
      <c r="A29" s="12" t="s">
        <v>53</v>
      </c>
      <c r="B29" t="s">
        <v>54</v>
      </c>
      <c r="C29" s="4"/>
      <c r="D29" s="49">
        <v>0</v>
      </c>
    </row>
    <row r="30" spans="1:9">
      <c r="A30" s="12" t="s">
        <v>55</v>
      </c>
      <c r="B30" t="s">
        <v>56</v>
      </c>
      <c r="C30" s="4"/>
      <c r="D30" s="49">
        <v>0</v>
      </c>
    </row>
    <row r="31" spans="1:9">
      <c r="A31" s="12" t="s">
        <v>58</v>
      </c>
      <c r="C31" s="1"/>
      <c r="D31" s="7">
        <f>TRUNC((SUM(D25:D30)),2)</f>
        <v>1536.73</v>
      </c>
      <c r="H31" s="190"/>
      <c r="I31" s="190"/>
    </row>
    <row r="32" spans="1:9">
      <c r="B32" s="51" t="s">
        <v>217</v>
      </c>
    </row>
    <row r="33" spans="1:9">
      <c r="A33" s="206" t="s">
        <v>61</v>
      </c>
      <c r="B33" s="206"/>
      <c r="C33" s="206"/>
      <c r="D33" s="206"/>
      <c r="I33" s="6"/>
    </row>
    <row r="35" spans="1:9">
      <c r="A35" s="193" t="s">
        <v>63</v>
      </c>
      <c r="B35" s="193"/>
      <c r="C35" s="193"/>
      <c r="D35" s="193"/>
    </row>
    <row r="36" spans="1:9">
      <c r="A36" s="12" t="s">
        <v>65</v>
      </c>
      <c r="B36" t="s">
        <v>66</v>
      </c>
      <c r="C36" s="1" t="s">
        <v>38</v>
      </c>
      <c r="D36" s="1" t="s">
        <v>19</v>
      </c>
    </row>
    <row r="37" spans="1:9">
      <c r="A37" s="12" t="s">
        <v>42</v>
      </c>
      <c r="B37" t="s">
        <v>67</v>
      </c>
      <c r="C37" s="17">
        <f>(1/12)</f>
        <v>8.3333333333333329E-2</v>
      </c>
      <c r="D37" s="7">
        <f>TRUNC($D$31*C37,2)</f>
        <v>128.06</v>
      </c>
    </row>
    <row r="38" spans="1:9">
      <c r="A38" s="12" t="s">
        <v>45</v>
      </c>
      <c r="B38" t="s">
        <v>68</v>
      </c>
      <c r="C38" s="17">
        <f>(((1+1/3)/12))</f>
        <v>0.1111111111111111</v>
      </c>
      <c r="D38" s="7">
        <f>TRUNC($D$31*C38,2)</f>
        <v>170.74</v>
      </c>
    </row>
    <row r="39" spans="1:9">
      <c r="A39" s="12" t="s">
        <v>58</v>
      </c>
      <c r="D39" s="7">
        <f>TRUNC((SUM(D37:D38)),2)</f>
        <v>298.8</v>
      </c>
    </row>
    <row r="40" spans="1:9">
      <c r="D40" s="7"/>
    </row>
    <row r="41" spans="1:9">
      <c r="A41" s="206" t="s">
        <v>218</v>
      </c>
      <c r="B41" s="206"/>
      <c r="C41" s="52" t="s">
        <v>219</v>
      </c>
      <c r="D41" s="53">
        <f>D31</f>
        <v>1536.73</v>
      </c>
    </row>
    <row r="42" spans="1:9">
      <c r="A42" s="206"/>
      <c r="B42" s="206"/>
      <c r="C42" s="54" t="s">
        <v>220</v>
      </c>
      <c r="D42" s="53">
        <f>D39</f>
        <v>298.8</v>
      </c>
    </row>
    <row r="43" spans="1:9">
      <c r="A43" s="206"/>
      <c r="B43" s="206"/>
      <c r="C43" s="52" t="s">
        <v>221</v>
      </c>
      <c r="D43" s="55">
        <f>TRUNC((SUM(D41:D42)),2)</f>
        <v>1835.53</v>
      </c>
    </row>
    <row r="44" spans="1:9">
      <c r="C44" s="18"/>
      <c r="D44" s="7"/>
    </row>
    <row r="45" spans="1:9">
      <c r="A45" s="193" t="s">
        <v>77</v>
      </c>
      <c r="B45" s="193"/>
      <c r="C45" s="193"/>
      <c r="D45" s="193"/>
    </row>
    <row r="46" spans="1:9">
      <c r="A46" s="12" t="s">
        <v>78</v>
      </c>
      <c r="B46" t="s">
        <v>79</v>
      </c>
      <c r="C46" s="1" t="s">
        <v>38</v>
      </c>
      <c r="D46" s="1" t="s">
        <v>80</v>
      </c>
    </row>
    <row r="47" spans="1:9">
      <c r="A47" s="12" t="s">
        <v>42</v>
      </c>
      <c r="B47" t="s">
        <v>81</v>
      </c>
      <c r="C47" s="17">
        <v>0.2</v>
      </c>
      <c r="D47" s="7">
        <f t="shared" ref="D47:D54" si="0">TRUNC(($D$43*C47),2)</f>
        <v>367.1</v>
      </c>
    </row>
    <row r="48" spans="1:9">
      <c r="A48" s="12" t="s">
        <v>45</v>
      </c>
      <c r="B48" t="s">
        <v>82</v>
      </c>
      <c r="C48" s="17">
        <v>2.5000000000000001E-2</v>
      </c>
      <c r="D48" s="7">
        <f t="shared" si="0"/>
        <v>45.88</v>
      </c>
    </row>
    <row r="49" spans="1:8">
      <c r="A49" s="12" t="s">
        <v>48</v>
      </c>
      <c r="B49" t="s">
        <v>222</v>
      </c>
      <c r="C49" s="56">
        <f>Submódulo2.255_63114[[#This Row],[Percentual]]</f>
        <v>0</v>
      </c>
      <c r="D49" s="49">
        <f t="shared" si="0"/>
        <v>0</v>
      </c>
    </row>
    <row r="50" spans="1:8">
      <c r="A50" s="12" t="s">
        <v>50</v>
      </c>
      <c r="B50" t="s">
        <v>84</v>
      </c>
      <c r="C50" s="17">
        <v>1.4999999999999999E-2</v>
      </c>
      <c r="D50" s="7">
        <f t="shared" si="0"/>
        <v>27.53</v>
      </c>
    </row>
    <row r="51" spans="1:8">
      <c r="A51" s="12" t="s">
        <v>53</v>
      </c>
      <c r="B51" t="s">
        <v>85</v>
      </c>
      <c r="C51" s="17">
        <v>0.01</v>
      </c>
      <c r="D51" s="7">
        <f t="shared" si="0"/>
        <v>18.350000000000001</v>
      </c>
    </row>
    <row r="52" spans="1:8">
      <c r="A52" s="12" t="s">
        <v>55</v>
      </c>
      <c r="B52" t="s">
        <v>86</v>
      </c>
      <c r="C52" s="17">
        <v>6.0000000000000001E-3</v>
      </c>
      <c r="D52" s="7">
        <f t="shared" si="0"/>
        <v>11.01</v>
      </c>
    </row>
    <row r="53" spans="1:8">
      <c r="A53" s="12" t="s">
        <v>87</v>
      </c>
      <c r="B53" t="s">
        <v>88</v>
      </c>
      <c r="C53" s="17">
        <v>2E-3</v>
      </c>
      <c r="D53" s="7">
        <f t="shared" si="0"/>
        <v>3.67</v>
      </c>
    </row>
    <row r="54" spans="1:8">
      <c r="A54" s="12" t="s">
        <v>89</v>
      </c>
      <c r="B54" t="s">
        <v>90</v>
      </c>
      <c r="C54" s="17">
        <v>0.08</v>
      </c>
      <c r="D54" s="7">
        <f t="shared" si="0"/>
        <v>146.84</v>
      </c>
    </row>
    <row r="55" spans="1:8">
      <c r="A55" s="12" t="s">
        <v>58</v>
      </c>
      <c r="C55" s="18">
        <f>SUM(C47:C54)</f>
        <v>0.33800000000000002</v>
      </c>
      <c r="D55" s="7">
        <f>TRUNC((SUM(D47:D54)),2)</f>
        <v>620.38</v>
      </c>
    </row>
    <row r="56" spans="1:8">
      <c r="C56" s="18"/>
      <c r="D56" s="7"/>
    </row>
    <row r="57" spans="1:8">
      <c r="A57" s="193" t="s">
        <v>95</v>
      </c>
      <c r="B57" s="193"/>
      <c r="C57" s="193"/>
      <c r="D57" s="193"/>
    </row>
    <row r="58" spans="1:8">
      <c r="A58" s="12" t="s">
        <v>96</v>
      </c>
      <c r="B58" t="s">
        <v>97</v>
      </c>
      <c r="C58" s="1" t="s">
        <v>18</v>
      </c>
      <c r="D58" s="1" t="s">
        <v>19</v>
      </c>
    </row>
    <row r="59" spans="1:8">
      <c r="A59" s="12" t="s">
        <v>42</v>
      </c>
      <c r="B59" t="s">
        <v>98</v>
      </c>
      <c r="C59" s="4"/>
      <c r="D59" s="49">
        <v>0</v>
      </c>
    </row>
    <row r="60" spans="1:8">
      <c r="A60" s="12" t="s">
        <v>45</v>
      </c>
      <c r="B60" t="s">
        <v>99</v>
      </c>
      <c r="C60" s="4" t="str">
        <f>C9</f>
        <v>CCT PB000113/2025</v>
      </c>
      <c r="D60" s="49">
        <f>Submódulo2.356_53112[[#This Row],[Valor]]</f>
        <v>540</v>
      </c>
    </row>
    <row r="61" spans="1:8">
      <c r="A61" s="12" t="s">
        <v>48</v>
      </c>
      <c r="B61" t="s">
        <v>100</v>
      </c>
      <c r="C61" s="4"/>
      <c r="D61" s="49">
        <v>0</v>
      </c>
    </row>
    <row r="62" spans="1:8">
      <c r="A62" s="12" t="s">
        <v>50</v>
      </c>
      <c r="B62" s="57" t="s">
        <v>223</v>
      </c>
      <c r="C62" s="58"/>
      <c r="D62" s="58">
        <v>0</v>
      </c>
      <c r="H62" s="16"/>
    </row>
    <row r="63" spans="1:8">
      <c r="A63" s="12" t="s">
        <v>53</v>
      </c>
      <c r="B63" t="s">
        <v>224</v>
      </c>
      <c r="C63" s="4" t="str">
        <f>C60</f>
        <v>CCT PB000113/2025</v>
      </c>
      <c r="D63" s="49">
        <v>25</v>
      </c>
    </row>
    <row r="64" spans="1:8">
      <c r="A64" s="12" t="s">
        <v>55</v>
      </c>
      <c r="B64" s="59" t="s">
        <v>225</v>
      </c>
      <c r="C64" s="4" t="str">
        <f>C9</f>
        <v>CCT PB000113/2025</v>
      </c>
      <c r="D64" s="49">
        <v>6</v>
      </c>
    </row>
    <row r="65" spans="1:4">
      <c r="A65" s="12" t="s">
        <v>87</v>
      </c>
      <c r="B65" s="59" t="s">
        <v>226</v>
      </c>
      <c r="C65" s="58" t="str">
        <f>C60</f>
        <v>CCT PB000113/2025</v>
      </c>
      <c r="D65" s="49">
        <v>50</v>
      </c>
    </row>
    <row r="66" spans="1:4">
      <c r="A66" s="12" t="s">
        <v>58</v>
      </c>
      <c r="D66" s="7">
        <f>TRUNC((SUM(D59:D65)),2)</f>
        <v>621</v>
      </c>
    </row>
    <row r="67" spans="1:4">
      <c r="D67" s="7"/>
    </row>
    <row r="68" spans="1:4">
      <c r="A68" s="193" t="s">
        <v>105</v>
      </c>
      <c r="B68" s="193"/>
      <c r="C68" s="193"/>
      <c r="D68" s="193"/>
    </row>
    <row r="69" spans="1:4">
      <c r="A69" s="12" t="s">
        <v>106</v>
      </c>
      <c r="B69" t="s">
        <v>107</v>
      </c>
      <c r="C69" s="1" t="s">
        <v>18</v>
      </c>
      <c r="D69" s="1" t="s">
        <v>19</v>
      </c>
    </row>
    <row r="70" spans="1:4">
      <c r="A70" s="12" t="s">
        <v>65</v>
      </c>
      <c r="B70" t="s">
        <v>66</v>
      </c>
      <c r="C70" s="1"/>
      <c r="D70" s="7">
        <f>D39</f>
        <v>298.8</v>
      </c>
    </row>
    <row r="71" spans="1:4">
      <c r="A71" s="12" t="s">
        <v>78</v>
      </c>
      <c r="B71" t="s">
        <v>79</v>
      </c>
      <c r="C71" s="1"/>
      <c r="D71" s="7">
        <f>D55</f>
        <v>620.38</v>
      </c>
    </row>
    <row r="72" spans="1:4">
      <c r="A72" s="12" t="s">
        <v>96</v>
      </c>
      <c r="B72" t="s">
        <v>97</v>
      </c>
      <c r="C72" s="1"/>
      <c r="D72" s="7">
        <f>D66</f>
        <v>621</v>
      </c>
    </row>
    <row r="73" spans="1:4">
      <c r="A73" s="12" t="s">
        <v>58</v>
      </c>
      <c r="C73" s="1"/>
      <c r="D73" s="7">
        <f>TRUNC((SUM(D70:D72)),2)</f>
        <v>1540.18</v>
      </c>
    </row>
    <row r="75" spans="1:4">
      <c r="A75" s="198" t="s">
        <v>108</v>
      </c>
      <c r="B75" s="198"/>
      <c r="C75" s="198"/>
      <c r="D75" s="198"/>
    </row>
    <row r="76" spans="1:4">
      <c r="A76" s="12" t="s">
        <v>109</v>
      </c>
      <c r="B76" t="s">
        <v>110</v>
      </c>
      <c r="C76" s="1" t="s">
        <v>38</v>
      </c>
      <c r="D76" s="1" t="s">
        <v>19</v>
      </c>
    </row>
    <row r="77" spans="1:4">
      <c r="A77" s="12" t="s">
        <v>42</v>
      </c>
      <c r="B77" t="s">
        <v>111</v>
      </c>
      <c r="C77" s="56">
        <f>((1/12)*2%)</f>
        <v>1.6666666666666666E-3</v>
      </c>
      <c r="D77" s="49">
        <f>TRUNC(($D$31*C77),2)</f>
        <v>2.56</v>
      </c>
    </row>
    <row r="78" spans="1:4">
      <c r="A78" s="12" t="s">
        <v>45</v>
      </c>
      <c r="B78" t="s">
        <v>112</v>
      </c>
      <c r="C78" s="61">
        <v>0.08</v>
      </c>
      <c r="D78" s="7">
        <f>TRUNC(($D$77*C78),2)</f>
        <v>0.2</v>
      </c>
    </row>
    <row r="79" spans="1:4" ht="30">
      <c r="A79" s="12" t="s">
        <v>48</v>
      </c>
      <c r="B79" s="95" t="s">
        <v>113</v>
      </c>
      <c r="C79" s="63">
        <f>(0.08*0.4*0.02)</f>
        <v>6.4000000000000005E-4</v>
      </c>
      <c r="D79" s="58">
        <f>TRUNC(($D$31*C79),2)</f>
        <v>0.98</v>
      </c>
    </row>
    <row r="80" spans="1:4">
      <c r="A80" s="12" t="s">
        <v>50</v>
      </c>
      <c r="B80" t="s">
        <v>114</v>
      </c>
      <c r="C80" s="61">
        <f>(((7/30)/12)*0.98)</f>
        <v>1.9055555555555555E-2</v>
      </c>
      <c r="D80" s="7">
        <f>TRUNC(($D$31*C80),2)</f>
        <v>29.28</v>
      </c>
    </row>
    <row r="81" spans="1:4" ht="30">
      <c r="A81" s="12" t="s">
        <v>53</v>
      </c>
      <c r="B81" s="95" t="s">
        <v>227</v>
      </c>
      <c r="C81" s="63">
        <f>C55</f>
        <v>0.33800000000000002</v>
      </c>
      <c r="D81" s="58">
        <f>TRUNC(($D$80*C81),2)</f>
        <v>9.89</v>
      </c>
    </row>
    <row r="82" spans="1:4" ht="30">
      <c r="A82" s="12" t="s">
        <v>55</v>
      </c>
      <c r="B82" s="95" t="s">
        <v>115</v>
      </c>
      <c r="C82" s="63">
        <f>(0.08*0.4*0.98)</f>
        <v>3.1359999999999999E-2</v>
      </c>
      <c r="D82" s="58">
        <f>TRUNC(($D$31*C82),2)</f>
        <v>48.19</v>
      </c>
    </row>
    <row r="83" spans="1:4">
      <c r="A83" s="12" t="s">
        <v>58</v>
      </c>
      <c r="C83" s="61">
        <f>SUM(C77:C82)</f>
        <v>0.47072222222222221</v>
      </c>
      <c r="D83" s="7">
        <f>TRUNC((SUM(D77:D82)),2)</f>
        <v>91.1</v>
      </c>
    </row>
    <row r="84" spans="1:4">
      <c r="D84" s="7"/>
    </row>
    <row r="85" spans="1:4">
      <c r="A85" s="206" t="s">
        <v>228</v>
      </c>
      <c r="B85" s="206"/>
      <c r="C85" s="52" t="s">
        <v>219</v>
      </c>
      <c r="D85" s="53">
        <f>D31</f>
        <v>1536.73</v>
      </c>
    </row>
    <row r="86" spans="1:4">
      <c r="A86" s="206"/>
      <c r="B86" s="206"/>
      <c r="C86" s="54" t="s">
        <v>229</v>
      </c>
      <c r="D86" s="53">
        <f>D73</f>
        <v>1540.18</v>
      </c>
    </row>
    <row r="87" spans="1:4">
      <c r="A87" s="206"/>
      <c r="B87" s="206"/>
      <c r="C87" s="52" t="s">
        <v>230</v>
      </c>
      <c r="D87" s="53">
        <f>D83</f>
        <v>91.1</v>
      </c>
    </row>
    <row r="88" spans="1:4">
      <c r="A88" s="206"/>
      <c r="B88" s="206"/>
      <c r="C88" s="54" t="s">
        <v>221</v>
      </c>
      <c r="D88" s="55">
        <f>TRUNC((SUM(D85:D87)),2)</f>
        <v>3168.01</v>
      </c>
    </row>
    <row r="89" spans="1:4">
      <c r="D89" s="7"/>
    </row>
    <row r="90" spans="1:4" ht="35.1" customHeight="1">
      <c r="A90" s="207" t="s">
        <v>127</v>
      </c>
      <c r="B90" s="207"/>
      <c r="C90" s="207"/>
      <c r="D90" s="207"/>
    </row>
    <row r="91" spans="1:4">
      <c r="A91" s="193" t="s">
        <v>128</v>
      </c>
      <c r="B91" s="193"/>
      <c r="C91" s="193"/>
      <c r="D91" s="193"/>
    </row>
    <row r="92" spans="1:4">
      <c r="A92" s="12" t="s">
        <v>129</v>
      </c>
      <c r="B92" t="s">
        <v>130</v>
      </c>
      <c r="C92" s="1" t="s">
        <v>38</v>
      </c>
      <c r="D92" s="1" t="s">
        <v>19</v>
      </c>
    </row>
    <row r="93" spans="1:4">
      <c r="A93" s="12" t="s">
        <v>42</v>
      </c>
      <c r="B93" t="s">
        <v>132</v>
      </c>
      <c r="C93" s="61">
        <f>(((1+1/3)/12)/12)+((1/12)/12)</f>
        <v>1.6203703703703703E-2</v>
      </c>
      <c r="D93" s="7">
        <f>TRUNC(($D$88*C93),2)</f>
        <v>51.33</v>
      </c>
    </row>
    <row r="94" spans="1:4">
      <c r="A94" s="12" t="s">
        <v>45</v>
      </c>
      <c r="B94" t="s">
        <v>133</v>
      </c>
      <c r="C94" s="56">
        <f>((5/30)/12)</f>
        <v>1.3888888888888888E-2</v>
      </c>
      <c r="D94" s="58">
        <f>TRUNC(($D$88*C94),2)</f>
        <v>44</v>
      </c>
    </row>
    <row r="95" spans="1:4">
      <c r="A95" s="12" t="s">
        <v>48</v>
      </c>
      <c r="B95" t="s">
        <v>134</v>
      </c>
      <c r="C95" s="56">
        <f>((5/30)/12)*0.02</f>
        <v>2.7777777777777778E-4</v>
      </c>
      <c r="D95" s="58">
        <f>TRUNC(($D$88*C95),2)</f>
        <v>0.88</v>
      </c>
    </row>
    <row r="96" spans="1:4" ht="30">
      <c r="A96" s="12" t="s">
        <v>50</v>
      </c>
      <c r="B96" s="95" t="s">
        <v>135</v>
      </c>
      <c r="C96" s="63">
        <f>((15/30)/12)*0.08</f>
        <v>3.3333333333333331E-3</v>
      </c>
      <c r="D96" s="58">
        <f>TRUNC(($D$88*C96),2)</f>
        <v>10.56</v>
      </c>
    </row>
    <row r="97" spans="1:4">
      <c r="A97" s="12" t="s">
        <v>53</v>
      </c>
      <c r="B97" t="s">
        <v>136</v>
      </c>
      <c r="C97" s="56">
        <f>((1+1/3)/12)*0.00001*((4/12))</f>
        <v>3.7037037037037031E-7</v>
      </c>
      <c r="D97" s="58">
        <f>TRUNC(($D$88*C97),2)</f>
        <v>0</v>
      </c>
    </row>
    <row r="98" spans="1:4">
      <c r="A98" s="12" t="s">
        <v>55</v>
      </c>
      <c r="B98" s="95" t="s">
        <v>231</v>
      </c>
      <c r="C98" s="96">
        <v>0</v>
      </c>
      <c r="D98" s="58">
        <f>TRUNC($D$88*C98)</f>
        <v>0</v>
      </c>
    </row>
    <row r="99" spans="1:4">
      <c r="A99" s="12" t="s">
        <v>58</v>
      </c>
      <c r="C99" s="61">
        <f>SUBTOTAL(109,Submódulo4.159_13798[Percentual])</f>
        <v>3.3704074074074074E-2</v>
      </c>
      <c r="D99" s="7">
        <f>TRUNC((SUM(D93:D98)),2)</f>
        <v>106.77</v>
      </c>
    </row>
    <row r="100" spans="1:4">
      <c r="C100" s="1"/>
      <c r="D100" s="7"/>
    </row>
    <row r="101" spans="1:4">
      <c r="A101" s="193" t="s">
        <v>144</v>
      </c>
      <c r="B101" s="193"/>
      <c r="C101" s="193"/>
      <c r="D101" s="193"/>
    </row>
    <row r="102" spans="1:4">
      <c r="A102" s="12" t="s">
        <v>145</v>
      </c>
      <c r="B102" t="s">
        <v>146</v>
      </c>
      <c r="C102" s="1" t="s">
        <v>18</v>
      </c>
      <c r="D102" s="1" t="s">
        <v>19</v>
      </c>
    </row>
    <row r="103" spans="1:4" ht="105">
      <c r="A103" s="12" t="s">
        <v>42</v>
      </c>
      <c r="B103" s="70" t="s">
        <v>147</v>
      </c>
      <c r="C103" s="71" t="s">
        <v>232</v>
      </c>
      <c r="D103" s="72" t="s">
        <v>233</v>
      </c>
    </row>
    <row r="104" spans="1:4">
      <c r="A104" s="12" t="s">
        <v>58</v>
      </c>
      <c r="C104" s="73"/>
      <c r="D104" s="74" t="str">
        <f>D103</f>
        <v>*=TRUNCAR(($D$86/220)*(1*(365/12))/2)</v>
      </c>
    </row>
    <row r="106" spans="1:4">
      <c r="A106" s="193" t="s">
        <v>148</v>
      </c>
      <c r="B106" s="193"/>
      <c r="C106" s="193"/>
      <c r="D106" s="193"/>
    </row>
    <row r="107" spans="1:4">
      <c r="A107" s="12" t="s">
        <v>149</v>
      </c>
      <c r="B107" t="s">
        <v>150</v>
      </c>
      <c r="C107" s="1" t="s">
        <v>18</v>
      </c>
      <c r="D107" s="1" t="s">
        <v>19</v>
      </c>
    </row>
    <row r="108" spans="1:4">
      <c r="A108" s="12" t="s">
        <v>129</v>
      </c>
      <c r="B108" t="s">
        <v>130</v>
      </c>
      <c r="D108" s="49">
        <f>D99</f>
        <v>106.77</v>
      </c>
    </row>
    <row r="109" spans="1:4">
      <c r="A109" s="12" t="s">
        <v>145</v>
      </c>
      <c r="B109" t="s">
        <v>151</v>
      </c>
      <c r="D109" s="75" t="str">
        <f>Submódulo4.260_13899[[#Totals],[Valor]]</f>
        <v>*=TRUNCAR(($D$86/220)*(1*(365/12))/2)</v>
      </c>
    </row>
    <row r="110" spans="1:4" ht="75">
      <c r="A110" s="12" t="s">
        <v>58</v>
      </c>
      <c r="B110" s="16"/>
      <c r="C110" s="71" t="s">
        <v>234</v>
      </c>
      <c r="D110" s="76">
        <f>TRUNC((SUM(D108:D109)),2)</f>
        <v>106.77</v>
      </c>
    </row>
    <row r="112" spans="1:4">
      <c r="A112" s="198" t="s">
        <v>152</v>
      </c>
      <c r="B112" s="198"/>
      <c r="C112" s="198"/>
      <c r="D112" s="198"/>
    </row>
    <row r="113" spans="1:11" ht="30">
      <c r="A113" s="12" t="s">
        <v>153</v>
      </c>
      <c r="B113" s="12" t="s">
        <v>154</v>
      </c>
      <c r="C113" s="12" t="s">
        <v>18</v>
      </c>
      <c r="D113" s="12" t="s">
        <v>19</v>
      </c>
      <c r="H113" s="77" t="s">
        <v>235</v>
      </c>
      <c r="I113" s="78" t="s">
        <v>236</v>
      </c>
      <c r="J113" s="78" t="s">
        <v>237</v>
      </c>
      <c r="K113" s="78" t="s">
        <v>238</v>
      </c>
    </row>
    <row r="114" spans="1:11">
      <c r="A114" s="12" t="s">
        <v>42</v>
      </c>
      <c r="B114" t="s">
        <v>239</v>
      </c>
      <c r="D114" s="79">
        <f>F114</f>
        <v>0</v>
      </c>
      <c r="F114">
        <f t="array" ref="F114:G114">'Uniformes e EPI'!G142:H142</f>
        <v>0</v>
      </c>
      <c r="G114">
        <v>0</v>
      </c>
      <c r="H114" s="80" t="s">
        <v>240</v>
      </c>
      <c r="I114" s="81">
        <v>0</v>
      </c>
      <c r="J114" s="82">
        <v>70</v>
      </c>
      <c r="K114" s="82">
        <f>TRUNC(J114*I114,2)</f>
        <v>0</v>
      </c>
    </row>
    <row r="115" spans="1:11">
      <c r="A115" s="12" t="s">
        <v>45</v>
      </c>
      <c r="B115" t="s">
        <v>241</v>
      </c>
      <c r="D115" s="79">
        <v>0</v>
      </c>
      <c r="H115" s="83" t="s">
        <v>242</v>
      </c>
      <c r="I115" s="84">
        <v>0</v>
      </c>
      <c r="J115" s="53">
        <v>35</v>
      </c>
      <c r="K115" s="82">
        <f>TRUNC(J115*I115,2)</f>
        <v>0</v>
      </c>
    </row>
    <row r="116" spans="1:11">
      <c r="A116" s="12" t="s">
        <v>48</v>
      </c>
      <c r="B116" t="s">
        <v>156</v>
      </c>
      <c r="D116" s="79">
        <v>0</v>
      </c>
      <c r="H116" s="208" t="s">
        <v>221</v>
      </c>
      <c r="I116" s="208"/>
      <c r="J116" s="210">
        <f>TRUNC(SUM(K114:K115),2)</f>
        <v>0</v>
      </c>
      <c r="K116" s="210"/>
    </row>
    <row r="117" spans="1:11">
      <c r="A117" s="12" t="s">
        <v>50</v>
      </c>
      <c r="B117" t="s">
        <v>157</v>
      </c>
      <c r="D117" s="79">
        <v>0</v>
      </c>
      <c r="H117" s="208" t="s">
        <v>243</v>
      </c>
      <c r="I117" s="208"/>
      <c r="J117" s="210">
        <f>TRUNC(J116/12,2)</f>
        <v>0</v>
      </c>
      <c r="K117" s="210"/>
    </row>
    <row r="118" spans="1:11" ht="15" customHeight="1">
      <c r="A118" s="12" t="s">
        <v>53</v>
      </c>
      <c r="B118" t="s">
        <v>244</v>
      </c>
      <c r="D118" s="79">
        <f>J117</f>
        <v>0</v>
      </c>
      <c r="H118" s="212" t="str">
        <f>Pedreiro!H118</f>
        <v>* Valores estabelecidos em conformidade com as disposição da CCT n.° PB 000113/2025</v>
      </c>
      <c r="I118" s="212"/>
      <c r="J118" s="212"/>
      <c r="K118" s="212"/>
    </row>
    <row r="119" spans="1:11">
      <c r="A119" s="12" t="s">
        <v>58</v>
      </c>
      <c r="D119" s="65">
        <f>TRUNC(SUM(D114:D118),2)</f>
        <v>0</v>
      </c>
      <c r="H119" s="212"/>
      <c r="I119" s="212"/>
      <c r="J119" s="212"/>
      <c r="K119" s="212"/>
    </row>
    <row r="121" spans="1:11">
      <c r="A121" s="206" t="s">
        <v>245</v>
      </c>
      <c r="B121" s="206"/>
      <c r="C121" s="52" t="s">
        <v>219</v>
      </c>
      <c r="D121" s="53">
        <f>D31</f>
        <v>1536.73</v>
      </c>
    </row>
    <row r="122" spans="1:11">
      <c r="A122" s="206"/>
      <c r="B122" s="206"/>
      <c r="C122" s="54" t="s">
        <v>229</v>
      </c>
      <c r="D122" s="53">
        <f>D73</f>
        <v>1540.18</v>
      </c>
    </row>
    <row r="123" spans="1:11">
      <c r="A123" s="206"/>
      <c r="B123" s="206"/>
      <c r="C123" s="52" t="s">
        <v>230</v>
      </c>
      <c r="D123" s="53">
        <f>D83</f>
        <v>91.1</v>
      </c>
    </row>
    <row r="124" spans="1:11">
      <c r="A124" s="206"/>
      <c r="B124" s="206"/>
      <c r="C124" s="54" t="s">
        <v>246</v>
      </c>
      <c r="D124" s="53">
        <f>D110</f>
        <v>106.77</v>
      </c>
    </row>
    <row r="125" spans="1:11">
      <c r="A125" s="206"/>
      <c r="B125" s="206"/>
      <c r="C125" s="52" t="s">
        <v>247</v>
      </c>
      <c r="D125" s="53">
        <f>D119</f>
        <v>0</v>
      </c>
    </row>
    <row r="126" spans="1:11">
      <c r="A126" s="206"/>
      <c r="B126" s="206"/>
      <c r="C126" s="54" t="s">
        <v>221</v>
      </c>
      <c r="D126" s="55">
        <f>TRUNC((SUM(D121:D125)),2)</f>
        <v>3274.78</v>
      </c>
    </row>
    <row r="128" spans="1:11">
      <c r="A128" s="198" t="s">
        <v>164</v>
      </c>
      <c r="B128" s="198"/>
      <c r="C128" s="198"/>
      <c r="D128" s="198"/>
    </row>
    <row r="129" spans="1:9">
      <c r="A129" s="12" t="s">
        <v>165</v>
      </c>
      <c r="B129" t="s">
        <v>166</v>
      </c>
      <c r="C129" s="1" t="s">
        <v>38</v>
      </c>
      <c r="D129" s="1" t="s">
        <v>19</v>
      </c>
      <c r="H129" s="209" t="s">
        <v>248</v>
      </c>
      <c r="I129" s="209"/>
    </row>
    <row r="130" spans="1:9">
      <c r="A130" s="12" t="s">
        <v>42</v>
      </c>
      <c r="B130" t="s">
        <v>167</v>
      </c>
      <c r="C130" s="56">
        <f>Módulo663_59105[[#This Row],[Percentual]]</f>
        <v>0</v>
      </c>
      <c r="D130" s="49">
        <f>TRUNC(($D$126*C130),2)</f>
        <v>0</v>
      </c>
      <c r="H130" s="80" t="s">
        <v>249</v>
      </c>
      <c r="I130" s="63">
        <f>C132</f>
        <v>0.14250000000000002</v>
      </c>
    </row>
    <row r="131" spans="1:9">
      <c r="A131" s="12" t="s">
        <v>45</v>
      </c>
      <c r="B131" t="s">
        <v>59</v>
      </c>
      <c r="C131" s="56">
        <f>Módulo663_59105[[#This Row],[Percentual]]</f>
        <v>0</v>
      </c>
      <c r="D131" s="49">
        <f>TRUNC((C131*(D126+D130)),2)</f>
        <v>0</v>
      </c>
      <c r="H131" s="86" t="s">
        <v>250</v>
      </c>
      <c r="I131" s="87">
        <f>TRUNC(SUM(D126,D130,D131),2)</f>
        <v>3274.78</v>
      </c>
    </row>
    <row r="132" spans="1:9">
      <c r="A132" s="12" t="s">
        <v>48</v>
      </c>
      <c r="B132" t="s">
        <v>168</v>
      </c>
      <c r="C132" s="56">
        <f>SUM(C133:C135)</f>
        <v>0.14250000000000002</v>
      </c>
      <c r="D132" s="49">
        <f>TRUNC((SUM(D133:D135)),2)</f>
        <v>510.84</v>
      </c>
      <c r="H132" s="80" t="s">
        <v>251</v>
      </c>
      <c r="I132" s="88">
        <f>(100-8.65)/100</f>
        <v>0.91349999999999998</v>
      </c>
    </row>
    <row r="133" spans="1:9">
      <c r="B133" t="s">
        <v>252</v>
      </c>
      <c r="C133" s="56">
        <f>Módulo663_59105[[#This Row],[Percentual]]</f>
        <v>1.6500000000000001E-2</v>
      </c>
      <c r="D133" s="49">
        <f>TRUNC(($I$133*C133),2)</f>
        <v>59.15</v>
      </c>
      <c r="H133" s="86" t="s">
        <v>248</v>
      </c>
      <c r="I133" s="87">
        <f>TRUNC((I131/I132),2)</f>
        <v>3584.87</v>
      </c>
    </row>
    <row r="134" spans="1:9">
      <c r="B134" t="s">
        <v>253</v>
      </c>
      <c r="C134" s="56">
        <f>Módulo663_59105[[#This Row],[Percentual]]</f>
        <v>7.5999999999999998E-2</v>
      </c>
      <c r="D134" s="49">
        <f>TRUNC(($I$133*C134),2)</f>
        <v>272.45</v>
      </c>
    </row>
    <row r="135" spans="1:9">
      <c r="B135" t="s">
        <v>254</v>
      </c>
      <c r="C135" s="56">
        <f>Módulo663_59105[[#This Row],[Percentual]]</f>
        <v>0.05</v>
      </c>
      <c r="D135" s="49">
        <f>TRUNC(($I$133*C135),2)</f>
        <v>179.24</v>
      </c>
    </row>
    <row r="136" spans="1:9">
      <c r="A136" s="12" t="s">
        <v>58</v>
      </c>
      <c r="C136" s="1"/>
      <c r="D136" s="7">
        <f>TRUNC(SUM(D130:D132),2)</f>
        <v>510.84</v>
      </c>
    </row>
    <row r="137" spans="1:9">
      <c r="C137" s="1"/>
      <c r="D137" s="7"/>
    </row>
    <row r="139" spans="1:9">
      <c r="A139" s="198" t="s">
        <v>172</v>
      </c>
      <c r="B139" s="198"/>
      <c r="C139" s="198"/>
      <c r="D139" s="198"/>
    </row>
    <row r="140" spans="1:9">
      <c r="A140" s="12" t="s">
        <v>16</v>
      </c>
      <c r="B140" s="1" t="s">
        <v>173</v>
      </c>
      <c r="C140" s="1" t="s">
        <v>102</v>
      </c>
      <c r="D140" s="1" t="s">
        <v>19</v>
      </c>
    </row>
    <row r="141" spans="1:9">
      <c r="A141" s="12" t="s">
        <v>42</v>
      </c>
      <c r="B141" t="s">
        <v>36</v>
      </c>
      <c r="D141" s="7">
        <f>D31</f>
        <v>1536.73</v>
      </c>
    </row>
    <row r="142" spans="1:9">
      <c r="A142" s="12" t="s">
        <v>45</v>
      </c>
      <c r="B142" t="s">
        <v>61</v>
      </c>
      <c r="D142" s="7">
        <f>D73</f>
        <v>1540.18</v>
      </c>
    </row>
    <row r="143" spans="1:9">
      <c r="A143" s="12" t="s">
        <v>48</v>
      </c>
      <c r="B143" t="s">
        <v>108</v>
      </c>
      <c r="D143" s="7">
        <f>D83</f>
        <v>91.1</v>
      </c>
    </row>
    <row r="144" spans="1:9">
      <c r="A144" s="12" t="s">
        <v>50</v>
      </c>
      <c r="B144" t="s">
        <v>174</v>
      </c>
      <c r="D144" s="7">
        <f>D110</f>
        <v>106.77</v>
      </c>
    </row>
    <row r="145" spans="1:4">
      <c r="A145" s="12" t="s">
        <v>53</v>
      </c>
      <c r="B145" t="s">
        <v>152</v>
      </c>
      <c r="D145" s="7">
        <f>D119</f>
        <v>0</v>
      </c>
    </row>
    <row r="146" spans="1:4">
      <c r="B146" s="89" t="s">
        <v>175</v>
      </c>
      <c r="D146" s="7">
        <f>TRUNC(SUM(D141:D145),2)</f>
        <v>3274.78</v>
      </c>
    </row>
    <row r="147" spans="1:4">
      <c r="A147" s="12" t="s">
        <v>55</v>
      </c>
      <c r="B147" t="s">
        <v>164</v>
      </c>
      <c r="D147" s="7">
        <f>D136</f>
        <v>510.84</v>
      </c>
    </row>
    <row r="148" spans="1:4">
      <c r="A148" s="101"/>
      <c r="B148" s="91" t="s">
        <v>256</v>
      </c>
      <c r="C148" s="20"/>
      <c r="D148" s="92">
        <f>TRUNC((SUM(D141:D145)+D147),2)</f>
        <v>3785.62</v>
      </c>
    </row>
  </sheetData>
  <mergeCells count="38">
    <mergeCell ref="A128:D128"/>
    <mergeCell ref="H129:I129"/>
    <mergeCell ref="A139:D139"/>
    <mergeCell ref="J116:K116"/>
    <mergeCell ref="H117:I117"/>
    <mergeCell ref="J117:K117"/>
    <mergeCell ref="H118:K119"/>
    <mergeCell ref="A121:B126"/>
    <mergeCell ref="A91:D91"/>
    <mergeCell ref="A101:D101"/>
    <mergeCell ref="A106:D106"/>
    <mergeCell ref="A112:D112"/>
    <mergeCell ref="H116:I116"/>
    <mergeCell ref="A57:D57"/>
    <mergeCell ref="A68:D68"/>
    <mergeCell ref="A75:D75"/>
    <mergeCell ref="A85:B88"/>
    <mergeCell ref="A90:D90"/>
    <mergeCell ref="H31:I31"/>
    <mergeCell ref="A33:D33"/>
    <mergeCell ref="A35:D35"/>
    <mergeCell ref="A41:B43"/>
    <mergeCell ref="A45:D45"/>
    <mergeCell ref="A14:B14"/>
    <mergeCell ref="A15:D15"/>
    <mergeCell ref="H15:I15"/>
    <mergeCell ref="H22:I22"/>
    <mergeCell ref="A23:D23"/>
    <mergeCell ref="C9:D9"/>
    <mergeCell ref="C10:D10"/>
    <mergeCell ref="A11:D11"/>
    <mergeCell ref="A12:B12"/>
    <mergeCell ref="A13:B13"/>
    <mergeCell ref="A2:D2"/>
    <mergeCell ref="A3:D3"/>
    <mergeCell ref="A6:D6"/>
    <mergeCell ref="C7:D7"/>
    <mergeCell ref="C8:D8"/>
  </mergeCells>
  <pageMargins left="0.25" right="0.25" top="0.75" bottom="0.75" header="0.511811023622047" footer="0.511811023622047"/>
  <pageSetup paperSize="9" scale="50" fitToHeight="0" orientation="portrait" horizontalDpi="300" verticalDpi="300"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2:K150"/>
  <sheetViews>
    <sheetView view="pageBreakPreview" topLeftCell="A130" zoomScaleNormal="100" workbookViewId="0">
      <selection activeCell="H139" sqref="H139"/>
    </sheetView>
  </sheetViews>
  <sheetFormatPr defaultColWidth="9.140625" defaultRowHeight="15"/>
  <cols>
    <col min="1" max="1" width="10.5703125" style="12" customWidth="1"/>
    <col min="2" max="2" width="54.28515625" customWidth="1"/>
    <col min="3" max="3" width="23.85546875" customWidth="1"/>
    <col min="4" max="4" width="41" customWidth="1"/>
    <col min="5" max="6" width="11.28515625" hidden="1" customWidth="1"/>
    <col min="7" max="7" width="11.28515625" customWidth="1"/>
    <col min="8" max="8" width="22.85546875" customWidth="1"/>
    <col min="9" max="9" width="13.28515625" customWidth="1"/>
    <col min="10" max="10" width="12" customWidth="1"/>
    <col min="11" max="11" width="12.28515625" customWidth="1"/>
  </cols>
  <sheetData>
    <row r="2" spans="1:9" ht="18.75">
      <c r="A2" s="196" t="s">
        <v>194</v>
      </c>
      <c r="B2" s="196"/>
      <c r="C2" s="196"/>
      <c r="D2" s="196"/>
    </row>
    <row r="3" spans="1:9">
      <c r="A3" s="213" t="str">
        <f>Pedreiro!A3</f>
        <v>Processo Administrativo n.° 23324.000830.2025-46</v>
      </c>
      <c r="B3" s="213"/>
      <c r="C3" s="213"/>
      <c r="D3" s="213"/>
    </row>
    <row r="4" spans="1:9" ht="21" customHeight="1">
      <c r="A4" s="102" t="s">
        <v>195</v>
      </c>
      <c r="B4" s="103" t="s">
        <v>392</v>
      </c>
      <c r="C4" s="34"/>
      <c r="D4" s="34"/>
    </row>
    <row r="5" spans="1:9">
      <c r="A5" s="10"/>
      <c r="B5" s="36"/>
      <c r="C5" s="36"/>
      <c r="D5" s="36"/>
    </row>
    <row r="6" spans="1:9">
      <c r="A6" s="198" t="s">
        <v>196</v>
      </c>
      <c r="B6" s="198"/>
      <c r="C6" s="198"/>
      <c r="D6" s="198"/>
    </row>
    <row r="7" spans="1:9">
      <c r="A7" s="37" t="s">
        <v>42</v>
      </c>
      <c r="B7" s="38" t="s">
        <v>197</v>
      </c>
      <c r="C7" s="199" t="s">
        <v>393</v>
      </c>
      <c r="D7" s="199"/>
    </row>
    <row r="8" spans="1:9">
      <c r="A8" s="39" t="s">
        <v>45</v>
      </c>
      <c r="B8" s="40" t="s">
        <v>199</v>
      </c>
      <c r="C8" s="200" t="s">
        <v>200</v>
      </c>
      <c r="D8" s="200"/>
    </row>
    <row r="9" spans="1:9">
      <c r="A9" s="42" t="s">
        <v>48</v>
      </c>
      <c r="B9" s="43" t="s">
        <v>201</v>
      </c>
      <c r="C9" s="200" t="str">
        <f>Pedreiro!C9</f>
        <v>CCT PB000113/2025</v>
      </c>
      <c r="D9" s="200"/>
    </row>
    <row r="10" spans="1:9">
      <c r="A10" s="39" t="s">
        <v>53</v>
      </c>
      <c r="B10" s="40" t="s">
        <v>202</v>
      </c>
      <c r="C10" s="200" t="s">
        <v>203</v>
      </c>
      <c r="D10" s="200"/>
    </row>
    <row r="11" spans="1:9">
      <c r="A11" s="202" t="s">
        <v>204</v>
      </c>
      <c r="B11" s="202"/>
      <c r="C11" s="202"/>
      <c r="D11" s="202"/>
    </row>
    <row r="12" spans="1:9" ht="15" customHeight="1">
      <c r="A12" s="203" t="s">
        <v>205</v>
      </c>
      <c r="B12" s="203"/>
      <c r="C12" s="44" t="s">
        <v>206</v>
      </c>
      <c r="D12" s="45" t="s">
        <v>207</v>
      </c>
    </row>
    <row r="13" spans="1:9">
      <c r="A13" s="204" t="s">
        <v>276</v>
      </c>
      <c r="B13" s="204"/>
      <c r="C13" s="41" t="s">
        <v>209</v>
      </c>
      <c r="D13" s="46">
        <v>2</v>
      </c>
    </row>
    <row r="14" spans="1:9">
      <c r="A14" s="205"/>
      <c r="B14" s="205"/>
      <c r="C14" s="41"/>
      <c r="D14" s="47"/>
    </row>
    <row r="15" spans="1:9">
      <c r="A15" s="202" t="s">
        <v>14</v>
      </c>
      <c r="B15" s="202"/>
      <c r="C15" s="202"/>
      <c r="D15" s="202"/>
      <c r="H15" s="190"/>
      <c r="I15" s="190"/>
    </row>
    <row r="16" spans="1:9">
      <c r="A16" s="12" t="s">
        <v>16</v>
      </c>
      <c r="B16" t="s">
        <v>17</v>
      </c>
      <c r="C16" s="1" t="s">
        <v>18</v>
      </c>
      <c r="D16" s="1" t="s">
        <v>19</v>
      </c>
    </row>
    <row r="17" spans="1:9">
      <c r="A17" s="12">
        <v>1</v>
      </c>
      <c r="B17" t="s">
        <v>20</v>
      </c>
      <c r="C17" s="4" t="s">
        <v>102</v>
      </c>
      <c r="D17" s="4" t="str">
        <f>A13</f>
        <v>Motorista Interestadual</v>
      </c>
    </row>
    <row r="18" spans="1:9">
      <c r="A18" s="12">
        <v>2</v>
      </c>
      <c r="B18" t="s">
        <v>23</v>
      </c>
      <c r="C18" s="4" t="s">
        <v>210</v>
      </c>
      <c r="D18" s="4" t="s">
        <v>446</v>
      </c>
    </row>
    <row r="19" spans="1:9">
      <c r="A19" s="12">
        <v>3</v>
      </c>
      <c r="B19" t="s">
        <v>26</v>
      </c>
      <c r="C19" s="107" t="str">
        <f>C9</f>
        <v>CCT PB000113/2025</v>
      </c>
      <c r="D19" s="49">
        <v>3567.57</v>
      </c>
    </row>
    <row r="20" spans="1:9">
      <c r="A20" s="12">
        <v>4</v>
      </c>
      <c r="B20" t="s">
        <v>29</v>
      </c>
      <c r="C20" s="107" t="str">
        <f>C9</f>
        <v>CCT PB000113/2025</v>
      </c>
      <c r="D20" s="4" t="s">
        <v>212</v>
      </c>
    </row>
    <row r="21" spans="1:9">
      <c r="A21" s="12">
        <v>5</v>
      </c>
      <c r="B21" t="s">
        <v>33</v>
      </c>
      <c r="C21" s="107" t="str">
        <f>C9</f>
        <v>CCT PB000113/2025</v>
      </c>
      <c r="D21" s="50" t="s">
        <v>213</v>
      </c>
    </row>
    <row r="22" spans="1:9">
      <c r="H22" s="190"/>
      <c r="I22" s="190"/>
    </row>
    <row r="23" spans="1:9">
      <c r="A23" s="198" t="s">
        <v>36</v>
      </c>
      <c r="B23" s="198"/>
      <c r="C23" s="198"/>
      <c r="D23" s="198"/>
    </row>
    <row r="24" spans="1:9">
      <c r="A24" s="12" t="s">
        <v>39</v>
      </c>
      <c r="B24" t="s">
        <v>40</v>
      </c>
      <c r="C24" s="1" t="s">
        <v>18</v>
      </c>
      <c r="D24" s="1" t="s">
        <v>19</v>
      </c>
      <c r="I24" s="6"/>
    </row>
    <row r="25" spans="1:9">
      <c r="A25" s="12" t="s">
        <v>42</v>
      </c>
      <c r="B25" t="s">
        <v>43</v>
      </c>
      <c r="C25" s="4" t="s">
        <v>271</v>
      </c>
      <c r="D25" s="49">
        <f>D19</f>
        <v>3567.57</v>
      </c>
      <c r="I25" s="6"/>
    </row>
    <row r="26" spans="1:9">
      <c r="A26" s="12" t="s">
        <v>45</v>
      </c>
      <c r="B26" t="s">
        <v>215</v>
      </c>
      <c r="C26" s="4"/>
      <c r="D26" s="49">
        <v>0</v>
      </c>
      <c r="I26" s="6"/>
    </row>
    <row r="27" spans="1:9">
      <c r="A27" s="12" t="s">
        <v>48</v>
      </c>
      <c r="B27" t="s">
        <v>216</v>
      </c>
      <c r="C27" s="4"/>
      <c r="D27" s="49">
        <v>0</v>
      </c>
    </row>
    <row r="28" spans="1:9">
      <c r="A28" s="12" t="s">
        <v>50</v>
      </c>
      <c r="B28" t="s">
        <v>51</v>
      </c>
      <c r="C28" s="4"/>
      <c r="D28" s="49">
        <v>0</v>
      </c>
    </row>
    <row r="29" spans="1:9">
      <c r="A29" s="12" t="s">
        <v>53</v>
      </c>
      <c r="B29" t="s">
        <v>54</v>
      </c>
      <c r="C29" s="4"/>
      <c r="D29" s="49">
        <v>0</v>
      </c>
    </row>
    <row r="30" spans="1:9">
      <c r="A30" s="12" t="s">
        <v>55</v>
      </c>
      <c r="B30" t="s">
        <v>56</v>
      </c>
      <c r="C30" s="4"/>
      <c r="D30" s="49">
        <v>0</v>
      </c>
    </row>
    <row r="31" spans="1:9">
      <c r="A31" s="12" t="s">
        <v>58</v>
      </c>
      <c r="C31" s="1"/>
      <c r="D31" s="7">
        <f>TRUNC((SUM(D25:D30)),2)</f>
        <v>3567.57</v>
      </c>
      <c r="H31" s="190"/>
      <c r="I31" s="190"/>
    </row>
    <row r="32" spans="1:9">
      <c r="B32" s="51" t="s">
        <v>217</v>
      </c>
    </row>
    <row r="33" spans="1:9">
      <c r="A33" s="206" t="s">
        <v>61</v>
      </c>
      <c r="B33" s="206"/>
      <c r="C33" s="206"/>
      <c r="D33" s="206"/>
      <c r="I33" s="6"/>
    </row>
    <row r="35" spans="1:9">
      <c r="A35" s="193" t="s">
        <v>63</v>
      </c>
      <c r="B35" s="193"/>
      <c r="C35" s="193"/>
      <c r="D35" s="193"/>
    </row>
    <row r="36" spans="1:9">
      <c r="A36" s="12" t="s">
        <v>65</v>
      </c>
      <c r="B36" t="s">
        <v>66</v>
      </c>
      <c r="C36" s="1" t="s">
        <v>38</v>
      </c>
      <c r="D36" s="1" t="s">
        <v>19</v>
      </c>
    </row>
    <row r="37" spans="1:9">
      <c r="A37" s="12" t="s">
        <v>42</v>
      </c>
      <c r="B37" t="s">
        <v>67</v>
      </c>
      <c r="C37" s="17">
        <f>(1/12)</f>
        <v>8.3333333333333329E-2</v>
      </c>
      <c r="D37" s="7">
        <f>TRUNC($D$31*C37,2)</f>
        <v>297.29000000000002</v>
      </c>
    </row>
    <row r="38" spans="1:9">
      <c r="A38" s="12" t="s">
        <v>45</v>
      </c>
      <c r="B38" t="s">
        <v>68</v>
      </c>
      <c r="C38" s="17">
        <f>(((1+1/3)/12))</f>
        <v>0.1111111111111111</v>
      </c>
      <c r="D38" s="7">
        <f>TRUNC($D$31*C38,2)</f>
        <v>396.39</v>
      </c>
    </row>
    <row r="39" spans="1:9">
      <c r="A39" s="12" t="s">
        <v>58</v>
      </c>
      <c r="D39" s="7">
        <f>TRUNC((SUM(D37:D38)),2)</f>
        <v>693.68</v>
      </c>
    </row>
    <row r="40" spans="1:9">
      <c r="D40" s="7"/>
    </row>
    <row r="41" spans="1:9">
      <c r="A41" s="206" t="s">
        <v>218</v>
      </c>
      <c r="B41" s="206"/>
      <c r="C41" s="52" t="s">
        <v>219</v>
      </c>
      <c r="D41" s="53">
        <f>D31</f>
        <v>3567.57</v>
      </c>
    </row>
    <row r="42" spans="1:9">
      <c r="A42" s="206"/>
      <c r="B42" s="206"/>
      <c r="C42" s="54" t="s">
        <v>220</v>
      </c>
      <c r="D42" s="53">
        <f>D39</f>
        <v>693.68</v>
      </c>
    </row>
    <row r="43" spans="1:9">
      <c r="A43" s="206"/>
      <c r="B43" s="206"/>
      <c r="C43" s="52" t="s">
        <v>221</v>
      </c>
      <c r="D43" s="55">
        <f>TRUNC((SUM(D41:D42)),2)</f>
        <v>4261.25</v>
      </c>
    </row>
    <row r="44" spans="1:9">
      <c r="C44" s="18"/>
      <c r="D44" s="7"/>
    </row>
    <row r="45" spans="1:9">
      <c r="A45" s="193" t="s">
        <v>77</v>
      </c>
      <c r="B45" s="193"/>
      <c r="C45" s="193"/>
      <c r="D45" s="193"/>
    </row>
    <row r="46" spans="1:9">
      <c r="A46" s="12" t="s">
        <v>78</v>
      </c>
      <c r="B46" t="s">
        <v>79</v>
      </c>
      <c r="C46" s="1" t="s">
        <v>38</v>
      </c>
      <c r="D46" s="1" t="s">
        <v>80</v>
      </c>
    </row>
    <row r="47" spans="1:9">
      <c r="A47" s="12" t="s">
        <v>42</v>
      </c>
      <c r="B47" t="s">
        <v>81</v>
      </c>
      <c r="C47" s="17">
        <v>0.2</v>
      </c>
      <c r="D47" s="7">
        <f t="shared" ref="D47:D54" si="0">TRUNC(($D$43*C47),2)</f>
        <v>852.25</v>
      </c>
    </row>
    <row r="48" spans="1:9">
      <c r="A48" s="12" t="s">
        <v>45</v>
      </c>
      <c r="B48" t="s">
        <v>82</v>
      </c>
      <c r="C48" s="17">
        <v>2.5000000000000001E-2</v>
      </c>
      <c r="D48" s="7">
        <f t="shared" si="0"/>
        <v>106.53</v>
      </c>
    </row>
    <row r="49" spans="1:8">
      <c r="A49" s="12" t="s">
        <v>48</v>
      </c>
      <c r="B49" t="s">
        <v>222</v>
      </c>
      <c r="C49" s="56">
        <f>Submódulo2.255_63114[[#This Row],[Percentual]]</f>
        <v>0</v>
      </c>
      <c r="D49" s="49">
        <f t="shared" si="0"/>
        <v>0</v>
      </c>
    </row>
    <row r="50" spans="1:8">
      <c r="A50" s="12" t="s">
        <v>50</v>
      </c>
      <c r="B50" t="s">
        <v>84</v>
      </c>
      <c r="C50" s="17">
        <v>1.4999999999999999E-2</v>
      </c>
      <c r="D50" s="7">
        <f t="shared" si="0"/>
        <v>63.91</v>
      </c>
    </row>
    <row r="51" spans="1:8">
      <c r="A51" s="12" t="s">
        <v>53</v>
      </c>
      <c r="B51" t="s">
        <v>85</v>
      </c>
      <c r="C51" s="17">
        <v>0.01</v>
      </c>
      <c r="D51" s="7">
        <f t="shared" si="0"/>
        <v>42.61</v>
      </c>
    </row>
    <row r="52" spans="1:8">
      <c r="A52" s="12" t="s">
        <v>55</v>
      </c>
      <c r="B52" t="s">
        <v>86</v>
      </c>
      <c r="C52" s="17">
        <v>6.0000000000000001E-3</v>
      </c>
      <c r="D52" s="7">
        <f t="shared" si="0"/>
        <v>25.56</v>
      </c>
    </row>
    <row r="53" spans="1:8">
      <c r="A53" s="12" t="s">
        <v>87</v>
      </c>
      <c r="B53" t="s">
        <v>88</v>
      </c>
      <c r="C53" s="17">
        <v>2E-3</v>
      </c>
      <c r="D53" s="7">
        <f t="shared" si="0"/>
        <v>8.52</v>
      </c>
    </row>
    <row r="54" spans="1:8">
      <c r="A54" s="12" t="s">
        <v>89</v>
      </c>
      <c r="B54" t="s">
        <v>90</v>
      </c>
      <c r="C54" s="17">
        <v>0.08</v>
      </c>
      <c r="D54" s="7">
        <f t="shared" si="0"/>
        <v>340.9</v>
      </c>
    </row>
    <row r="55" spans="1:8">
      <c r="A55" s="12" t="s">
        <v>58</v>
      </c>
      <c r="C55" s="18">
        <f>SUM(C47:C54)</f>
        <v>0.33800000000000002</v>
      </c>
      <c r="D55" s="7">
        <f>TRUNC((SUM(D47:D54)),2)</f>
        <v>1440.28</v>
      </c>
    </row>
    <row r="56" spans="1:8">
      <c r="C56" s="18"/>
      <c r="D56" s="7"/>
    </row>
    <row r="57" spans="1:8">
      <c r="A57" s="193" t="s">
        <v>95</v>
      </c>
      <c r="B57" s="193"/>
      <c r="C57" s="193"/>
      <c r="D57" s="193"/>
    </row>
    <row r="58" spans="1:8">
      <c r="A58" s="12" t="s">
        <v>96</v>
      </c>
      <c r="B58" t="s">
        <v>97</v>
      </c>
      <c r="C58" s="1" t="s">
        <v>18</v>
      </c>
      <c r="D58" s="1" t="s">
        <v>19</v>
      </c>
    </row>
    <row r="59" spans="1:8">
      <c r="A59" s="12" t="s">
        <v>42</v>
      </c>
      <c r="B59" t="s">
        <v>98</v>
      </c>
      <c r="C59" s="4"/>
      <c r="D59" s="49">
        <v>0</v>
      </c>
    </row>
    <row r="60" spans="1:8">
      <c r="A60" s="12" t="s">
        <v>45</v>
      </c>
      <c r="B60" t="s">
        <v>99</v>
      </c>
      <c r="C60" s="4" t="str">
        <f>C9</f>
        <v>CCT PB000113/2025</v>
      </c>
      <c r="D60" s="49">
        <f>Submódulo2.356_53112[[#This Row],[Valor]]</f>
        <v>540</v>
      </c>
    </row>
    <row r="61" spans="1:8">
      <c r="A61" s="12" t="s">
        <v>48</v>
      </c>
      <c r="B61" t="s">
        <v>100</v>
      </c>
      <c r="C61" s="4"/>
      <c r="D61" s="49">
        <v>0</v>
      </c>
    </row>
    <row r="62" spans="1:8">
      <c r="A62" s="12" t="s">
        <v>50</v>
      </c>
      <c r="B62" s="57" t="s">
        <v>223</v>
      </c>
      <c r="C62" s="58"/>
      <c r="D62" s="58">
        <v>0</v>
      </c>
      <c r="H62" s="16"/>
    </row>
    <row r="63" spans="1:8">
      <c r="A63" s="12" t="s">
        <v>53</v>
      </c>
      <c r="B63" t="s">
        <v>224</v>
      </c>
      <c r="C63" s="4" t="str">
        <f>C60</f>
        <v>CCT PB000113/2025</v>
      </c>
      <c r="D63" s="49">
        <v>25</v>
      </c>
    </row>
    <row r="64" spans="1:8">
      <c r="A64" s="12" t="s">
        <v>55</v>
      </c>
      <c r="B64" s="59" t="s">
        <v>225</v>
      </c>
      <c r="C64" s="4" t="str">
        <f>C9</f>
        <v>CCT PB000113/2025</v>
      </c>
      <c r="D64" s="49">
        <v>6</v>
      </c>
    </row>
    <row r="65" spans="1:4">
      <c r="A65" s="12" t="s">
        <v>87</v>
      </c>
      <c r="B65" s="59" t="s">
        <v>226</v>
      </c>
      <c r="C65" s="58" t="str">
        <f>C60</f>
        <v>CCT PB000113/2025</v>
      </c>
      <c r="D65" s="49">
        <v>50</v>
      </c>
    </row>
    <row r="66" spans="1:4">
      <c r="A66" s="12" t="s">
        <v>58</v>
      </c>
      <c r="D66" s="7">
        <f>TRUNC((SUM(D59:D65)),2)</f>
        <v>621</v>
      </c>
    </row>
    <row r="67" spans="1:4">
      <c r="D67" s="7"/>
    </row>
    <row r="68" spans="1:4">
      <c r="A68" s="193" t="s">
        <v>105</v>
      </c>
      <c r="B68" s="193"/>
      <c r="C68" s="193"/>
      <c r="D68" s="193"/>
    </row>
    <row r="69" spans="1:4">
      <c r="A69" s="12" t="s">
        <v>106</v>
      </c>
      <c r="B69" t="s">
        <v>107</v>
      </c>
      <c r="C69" s="1" t="s">
        <v>18</v>
      </c>
      <c r="D69" s="1" t="s">
        <v>19</v>
      </c>
    </row>
    <row r="70" spans="1:4">
      <c r="A70" s="12" t="s">
        <v>65</v>
      </c>
      <c r="B70" t="s">
        <v>66</v>
      </c>
      <c r="C70" s="1"/>
      <c r="D70" s="7">
        <f>D39</f>
        <v>693.68</v>
      </c>
    </row>
    <row r="71" spans="1:4">
      <c r="A71" s="12" t="s">
        <v>78</v>
      </c>
      <c r="B71" t="s">
        <v>79</v>
      </c>
      <c r="C71" s="1"/>
      <c r="D71" s="7">
        <f>D55</f>
        <v>1440.28</v>
      </c>
    </row>
    <row r="72" spans="1:4">
      <c r="A72" s="12" t="s">
        <v>96</v>
      </c>
      <c r="B72" t="s">
        <v>97</v>
      </c>
      <c r="C72" s="1"/>
      <c r="D72" s="7">
        <f>D66</f>
        <v>621</v>
      </c>
    </row>
    <row r="73" spans="1:4">
      <c r="A73" s="12" t="s">
        <v>58</v>
      </c>
      <c r="C73" s="1"/>
      <c r="D73" s="7">
        <f>TRUNC((SUM(D70:D72)),2)</f>
        <v>2754.96</v>
      </c>
    </row>
    <row r="75" spans="1:4">
      <c r="A75" s="198" t="s">
        <v>108</v>
      </c>
      <c r="B75" s="198"/>
      <c r="C75" s="198"/>
      <c r="D75" s="198"/>
    </row>
    <row r="76" spans="1:4">
      <c r="A76" s="12" t="s">
        <v>109</v>
      </c>
      <c r="B76" t="s">
        <v>110</v>
      </c>
      <c r="C76" s="1" t="s">
        <v>38</v>
      </c>
      <c r="D76" s="1" t="s">
        <v>19</v>
      </c>
    </row>
    <row r="77" spans="1:4">
      <c r="A77" s="12" t="s">
        <v>42</v>
      </c>
      <c r="B77" t="s">
        <v>111</v>
      </c>
      <c r="C77" s="56">
        <f>((1/12)*2%)</f>
        <v>1.6666666666666666E-3</v>
      </c>
      <c r="D77" s="49">
        <f>TRUNC(($D$31*C77),2)</f>
        <v>5.94</v>
      </c>
    </row>
    <row r="78" spans="1:4">
      <c r="A78" s="12" t="s">
        <v>45</v>
      </c>
      <c r="B78" t="s">
        <v>112</v>
      </c>
      <c r="C78" s="61">
        <v>0.08</v>
      </c>
      <c r="D78" s="7">
        <f>TRUNC(($D$77*C78),2)</f>
        <v>0.47</v>
      </c>
    </row>
    <row r="79" spans="1:4" ht="30">
      <c r="A79" s="12" t="s">
        <v>48</v>
      </c>
      <c r="B79" s="95" t="s">
        <v>113</v>
      </c>
      <c r="C79" s="63">
        <f>(0.08*0.4*0.02)</f>
        <v>6.4000000000000005E-4</v>
      </c>
      <c r="D79" s="58">
        <f>TRUNC(($D$31*C79),2)</f>
        <v>2.2799999999999998</v>
      </c>
    </row>
    <row r="80" spans="1:4">
      <c r="A80" s="12" t="s">
        <v>50</v>
      </c>
      <c r="B80" t="s">
        <v>114</v>
      </c>
      <c r="C80" s="61">
        <f>(((7/30)/12)*0.98)</f>
        <v>1.9055555555555555E-2</v>
      </c>
      <c r="D80" s="7">
        <f>TRUNC(($D$31*C80),2)</f>
        <v>67.98</v>
      </c>
    </row>
    <row r="81" spans="1:4" ht="30">
      <c r="A81" s="12" t="s">
        <v>53</v>
      </c>
      <c r="B81" s="95" t="s">
        <v>227</v>
      </c>
      <c r="C81" s="63">
        <f>C55</f>
        <v>0.33800000000000002</v>
      </c>
      <c r="D81" s="58">
        <f>TRUNC(($D$80*C81),2)</f>
        <v>22.97</v>
      </c>
    </row>
    <row r="82" spans="1:4" ht="30">
      <c r="A82" s="12" t="s">
        <v>55</v>
      </c>
      <c r="B82" s="95" t="s">
        <v>115</v>
      </c>
      <c r="C82" s="63">
        <f>(0.08*0.4*0.98)</f>
        <v>3.1359999999999999E-2</v>
      </c>
      <c r="D82" s="58">
        <f>TRUNC(($D$31*C82),2)</f>
        <v>111.87</v>
      </c>
    </row>
    <row r="83" spans="1:4">
      <c r="A83" s="12" t="s">
        <v>58</v>
      </c>
      <c r="C83" s="61">
        <f>SUM(C77:C82)</f>
        <v>0.47072222222222221</v>
      </c>
      <c r="D83" s="7">
        <f>TRUNC((SUM(D77:D82)),2)</f>
        <v>211.51</v>
      </c>
    </row>
    <row r="84" spans="1:4">
      <c r="D84" s="7"/>
    </row>
    <row r="85" spans="1:4">
      <c r="A85" s="206" t="s">
        <v>228</v>
      </c>
      <c r="B85" s="206"/>
      <c r="C85" s="52" t="s">
        <v>219</v>
      </c>
      <c r="D85" s="53">
        <f>D31</f>
        <v>3567.57</v>
      </c>
    </row>
    <row r="86" spans="1:4">
      <c r="A86" s="206"/>
      <c r="B86" s="206"/>
      <c r="C86" s="54" t="s">
        <v>229</v>
      </c>
      <c r="D86" s="53">
        <f>D73</f>
        <v>2754.96</v>
      </c>
    </row>
    <row r="87" spans="1:4">
      <c r="A87" s="206"/>
      <c r="B87" s="206"/>
      <c r="C87" s="52" t="s">
        <v>230</v>
      </c>
      <c r="D87" s="53">
        <f>D83</f>
        <v>211.51</v>
      </c>
    </row>
    <row r="88" spans="1:4">
      <c r="A88" s="206"/>
      <c r="B88" s="206"/>
      <c r="C88" s="54" t="s">
        <v>221</v>
      </c>
      <c r="D88" s="55">
        <f>TRUNC((SUM(D85:D87)),2)</f>
        <v>6534.04</v>
      </c>
    </row>
    <row r="89" spans="1:4">
      <c r="D89" s="7"/>
    </row>
    <row r="90" spans="1:4" ht="35.1" customHeight="1">
      <c r="A90" s="207" t="s">
        <v>127</v>
      </c>
      <c r="B90" s="207"/>
      <c r="C90" s="207"/>
      <c r="D90" s="207"/>
    </row>
    <row r="91" spans="1:4">
      <c r="A91" s="193" t="s">
        <v>128</v>
      </c>
      <c r="B91" s="193"/>
      <c r="C91" s="193"/>
      <c r="D91" s="193"/>
    </row>
    <row r="92" spans="1:4">
      <c r="A92" s="12" t="s">
        <v>129</v>
      </c>
      <c r="B92" t="s">
        <v>130</v>
      </c>
      <c r="C92" s="1" t="s">
        <v>38</v>
      </c>
      <c r="D92" s="1" t="s">
        <v>19</v>
      </c>
    </row>
    <row r="93" spans="1:4">
      <c r="A93" s="12" t="s">
        <v>42</v>
      </c>
      <c r="B93" t="s">
        <v>132</v>
      </c>
      <c r="C93" s="61">
        <f>(((1+1/3)/12)/12)+((1/12)/12)</f>
        <v>1.6203703703703703E-2</v>
      </c>
      <c r="D93" s="7">
        <f>TRUNC(($D$88*C93),2)</f>
        <v>105.87</v>
      </c>
    </row>
    <row r="94" spans="1:4">
      <c r="A94" s="12" t="s">
        <v>45</v>
      </c>
      <c r="B94" t="s">
        <v>133</v>
      </c>
      <c r="C94" s="56">
        <f>((5/30)/12)</f>
        <v>1.3888888888888888E-2</v>
      </c>
      <c r="D94" s="58">
        <f>TRUNC(($D$88*C94),2)</f>
        <v>90.75</v>
      </c>
    </row>
    <row r="95" spans="1:4">
      <c r="A95" s="12" t="s">
        <v>48</v>
      </c>
      <c r="B95" t="s">
        <v>134</v>
      </c>
      <c r="C95" s="56">
        <f>((5/30)/12)*0.02</f>
        <v>2.7777777777777778E-4</v>
      </c>
      <c r="D95" s="58">
        <f>TRUNC(($D$88*C95),2)</f>
        <v>1.81</v>
      </c>
    </row>
    <row r="96" spans="1:4" ht="30">
      <c r="A96" s="12" t="s">
        <v>50</v>
      </c>
      <c r="B96" s="95" t="s">
        <v>135</v>
      </c>
      <c r="C96" s="63">
        <f>((15/30)/12)*0.08</f>
        <v>3.3333333333333331E-3</v>
      </c>
      <c r="D96" s="58">
        <f>TRUNC(($D$88*C96),2)</f>
        <v>21.78</v>
      </c>
    </row>
    <row r="97" spans="1:4">
      <c r="A97" s="12" t="s">
        <v>53</v>
      </c>
      <c r="B97" t="s">
        <v>136</v>
      </c>
      <c r="C97" s="56">
        <f>((1+1/3)/12)*0.00001*((4/12))</f>
        <v>3.7037037037037031E-7</v>
      </c>
      <c r="D97" s="58">
        <f>TRUNC(($D$88*C97),2)</f>
        <v>0</v>
      </c>
    </row>
    <row r="98" spans="1:4">
      <c r="A98" s="12" t="s">
        <v>55</v>
      </c>
      <c r="B98" s="95" t="s">
        <v>231</v>
      </c>
      <c r="C98" s="96">
        <v>0</v>
      </c>
      <c r="D98" s="58">
        <f>TRUNC($D$88*C98)</f>
        <v>0</v>
      </c>
    </row>
    <row r="99" spans="1:4">
      <c r="A99" s="12" t="s">
        <v>58</v>
      </c>
      <c r="C99" s="61">
        <f>SUBTOTAL(109,Submódulo4.159_137151[Percentual])</f>
        <v>3.3704074074074074E-2</v>
      </c>
      <c r="D99" s="7">
        <f>TRUNC((SUM(D93:D98)),2)</f>
        <v>220.21</v>
      </c>
    </row>
    <row r="100" spans="1:4">
      <c r="C100" s="1"/>
      <c r="D100" s="7"/>
    </row>
    <row r="101" spans="1:4">
      <c r="A101" s="193" t="s">
        <v>144</v>
      </c>
      <c r="B101" s="193"/>
      <c r="C101" s="193"/>
      <c r="D101" s="193"/>
    </row>
    <row r="102" spans="1:4">
      <c r="A102" s="12" t="s">
        <v>145</v>
      </c>
      <c r="B102" t="s">
        <v>146</v>
      </c>
      <c r="C102" s="1" t="s">
        <v>18</v>
      </c>
      <c r="D102" s="1" t="s">
        <v>19</v>
      </c>
    </row>
    <row r="103" spans="1:4" ht="105">
      <c r="A103" s="12" t="s">
        <v>42</v>
      </c>
      <c r="B103" s="70" t="s">
        <v>147</v>
      </c>
      <c r="C103" s="71" t="s">
        <v>232</v>
      </c>
      <c r="D103" s="72" t="s">
        <v>233</v>
      </c>
    </row>
    <row r="104" spans="1:4">
      <c r="A104" s="12" t="s">
        <v>58</v>
      </c>
      <c r="C104" s="73"/>
      <c r="D104" s="74" t="str">
        <f>D103</f>
        <v>*=TRUNCAR(($D$86/220)*(1*(365/12))/2)</v>
      </c>
    </row>
    <row r="106" spans="1:4">
      <c r="A106" s="193" t="s">
        <v>148</v>
      </c>
      <c r="B106" s="193"/>
      <c r="C106" s="193"/>
      <c r="D106" s="193"/>
    </row>
    <row r="107" spans="1:4">
      <c r="A107" s="12" t="s">
        <v>149</v>
      </c>
      <c r="B107" t="s">
        <v>150</v>
      </c>
      <c r="C107" s="1" t="s">
        <v>18</v>
      </c>
      <c r="D107" s="1" t="s">
        <v>19</v>
      </c>
    </row>
    <row r="108" spans="1:4">
      <c r="A108" s="12" t="s">
        <v>129</v>
      </c>
      <c r="B108" t="s">
        <v>130</v>
      </c>
      <c r="D108" s="49">
        <f>D99</f>
        <v>220.21</v>
      </c>
    </row>
    <row r="109" spans="1:4">
      <c r="A109" s="12" t="s">
        <v>145</v>
      </c>
      <c r="B109" t="s">
        <v>151</v>
      </c>
      <c r="D109" s="75" t="str">
        <f>Submódulo4.260_138152[[#Totals],[Valor]]</f>
        <v>*=TRUNCAR(($D$86/220)*(1*(365/12))/2)</v>
      </c>
    </row>
    <row r="110" spans="1:4" ht="75">
      <c r="A110" s="12" t="s">
        <v>58</v>
      </c>
      <c r="B110" s="16"/>
      <c r="C110" s="71" t="s">
        <v>234</v>
      </c>
      <c r="D110" s="76">
        <f>TRUNC((SUM(D108:D109)),2)</f>
        <v>220.21</v>
      </c>
    </row>
    <row r="112" spans="1:4">
      <c r="A112" s="198" t="s">
        <v>152</v>
      </c>
      <c r="B112" s="198"/>
      <c r="C112" s="198"/>
      <c r="D112" s="198"/>
    </row>
    <row r="113" spans="1:11" ht="30">
      <c r="A113" s="12" t="s">
        <v>153</v>
      </c>
      <c r="B113" s="12" t="s">
        <v>154</v>
      </c>
      <c r="C113" s="12" t="s">
        <v>18</v>
      </c>
      <c r="D113" s="12" t="s">
        <v>19</v>
      </c>
      <c r="H113" s="77" t="s">
        <v>235</v>
      </c>
      <c r="I113" s="78" t="s">
        <v>236</v>
      </c>
      <c r="J113" s="78" t="s">
        <v>237</v>
      </c>
      <c r="K113" s="78" t="s">
        <v>238</v>
      </c>
    </row>
    <row r="114" spans="1:11">
      <c r="A114" s="12" t="s">
        <v>42</v>
      </c>
      <c r="B114" t="s">
        <v>239</v>
      </c>
      <c r="D114" s="79">
        <f>E114</f>
        <v>0</v>
      </c>
      <c r="E114">
        <f t="array" ref="E114:F114">'Uniformes e EPI'!G156:H156</f>
        <v>0</v>
      </c>
      <c r="F114">
        <v>0</v>
      </c>
      <c r="H114" s="80" t="s">
        <v>240</v>
      </c>
      <c r="I114" s="81">
        <v>0</v>
      </c>
      <c r="J114" s="82">
        <v>184</v>
      </c>
      <c r="K114" s="82">
        <f>TRUNC(J114*I114,2)</f>
        <v>0</v>
      </c>
    </row>
    <row r="115" spans="1:11">
      <c r="A115" s="12" t="s">
        <v>45</v>
      </c>
      <c r="B115" t="s">
        <v>241</v>
      </c>
      <c r="D115" s="79">
        <v>0</v>
      </c>
      <c r="H115" s="83" t="s">
        <v>242</v>
      </c>
      <c r="I115" s="84">
        <v>0</v>
      </c>
      <c r="J115" s="53">
        <v>92</v>
      </c>
      <c r="K115" s="82">
        <f>TRUNC(J115*I115,2)</f>
        <v>0</v>
      </c>
    </row>
    <row r="116" spans="1:11">
      <c r="A116" s="12" t="s">
        <v>48</v>
      </c>
      <c r="B116" t="s">
        <v>156</v>
      </c>
      <c r="D116" s="79">
        <v>0</v>
      </c>
      <c r="H116" s="208" t="s">
        <v>221</v>
      </c>
      <c r="I116" s="208"/>
      <c r="J116" s="210">
        <f>TRUNC(SUM(K114:K115),2)</f>
        <v>0</v>
      </c>
      <c r="K116" s="210"/>
    </row>
    <row r="117" spans="1:11">
      <c r="A117" s="12" t="s">
        <v>50</v>
      </c>
      <c r="B117" t="s">
        <v>157</v>
      </c>
      <c r="D117" s="79">
        <v>0</v>
      </c>
      <c r="H117" s="208" t="s">
        <v>243</v>
      </c>
      <c r="I117" s="208"/>
      <c r="J117" s="210">
        <f>TRUNC(J116/12,2)</f>
        <v>0</v>
      </c>
      <c r="K117" s="210"/>
    </row>
    <row r="118" spans="1:11" ht="15" customHeight="1">
      <c r="A118" s="12" t="s">
        <v>53</v>
      </c>
      <c r="B118" t="s">
        <v>244</v>
      </c>
      <c r="D118" s="79">
        <v>0</v>
      </c>
      <c r="H118" s="211" t="str">
        <f>Pedreiro!H118</f>
        <v>* Valores estabelecidos em conformidade com as disposição da CCT n.° PB 000113/2025</v>
      </c>
      <c r="I118" s="212"/>
      <c r="J118" s="212"/>
      <c r="K118" s="212"/>
    </row>
    <row r="119" spans="1:11">
      <c r="A119" s="12" t="s">
        <v>58</v>
      </c>
      <c r="D119" s="65">
        <f>SUM(D114:D118)</f>
        <v>0</v>
      </c>
      <c r="H119" s="212"/>
      <c r="I119" s="212"/>
      <c r="J119" s="212"/>
      <c r="K119" s="212"/>
    </row>
    <row r="121" spans="1:11">
      <c r="A121" s="206" t="s">
        <v>245</v>
      </c>
      <c r="B121" s="206"/>
      <c r="C121" s="52" t="s">
        <v>219</v>
      </c>
      <c r="D121" s="53">
        <f>D31</f>
        <v>3567.57</v>
      </c>
    </row>
    <row r="122" spans="1:11">
      <c r="A122" s="206"/>
      <c r="B122" s="206"/>
      <c r="C122" s="54" t="s">
        <v>229</v>
      </c>
      <c r="D122" s="53">
        <f>D73</f>
        <v>2754.96</v>
      </c>
    </row>
    <row r="123" spans="1:11">
      <c r="A123" s="206"/>
      <c r="B123" s="206"/>
      <c r="C123" s="52" t="s">
        <v>230</v>
      </c>
      <c r="D123" s="53">
        <f>D83</f>
        <v>211.51</v>
      </c>
    </row>
    <row r="124" spans="1:11">
      <c r="A124" s="206"/>
      <c r="B124" s="206"/>
      <c r="C124" s="54" t="s">
        <v>246</v>
      </c>
      <c r="D124" s="53">
        <f>D110</f>
        <v>220.21</v>
      </c>
    </row>
    <row r="125" spans="1:11">
      <c r="A125" s="206"/>
      <c r="B125" s="206"/>
      <c r="C125" s="52" t="s">
        <v>247</v>
      </c>
      <c r="D125" s="53">
        <f>D119</f>
        <v>0</v>
      </c>
    </row>
    <row r="126" spans="1:11">
      <c r="A126" s="206"/>
      <c r="B126" s="206"/>
      <c r="C126" s="54" t="s">
        <v>221</v>
      </c>
      <c r="D126" s="55">
        <f>TRUNC((SUM(D121:D125)),2)</f>
        <v>6754.25</v>
      </c>
    </row>
    <row r="128" spans="1:11">
      <c r="A128" s="198" t="s">
        <v>164</v>
      </c>
      <c r="B128" s="198"/>
      <c r="C128" s="198"/>
      <c r="D128" s="198"/>
    </row>
    <row r="129" spans="1:9">
      <c r="A129" s="12" t="s">
        <v>165</v>
      </c>
      <c r="B129" t="s">
        <v>166</v>
      </c>
      <c r="C129" s="1" t="s">
        <v>38</v>
      </c>
      <c r="D129" s="1" t="s">
        <v>19</v>
      </c>
      <c r="H129" s="209" t="s">
        <v>248</v>
      </c>
      <c r="I129" s="209"/>
    </row>
    <row r="130" spans="1:9">
      <c r="A130" s="12" t="s">
        <v>42</v>
      </c>
      <c r="B130" t="s">
        <v>167</v>
      </c>
      <c r="C130" s="56">
        <f>Módulo663_59105[[#This Row],[Percentual]]</f>
        <v>0</v>
      </c>
      <c r="D130" s="49">
        <f>TRUNC(($D$126*C130),2)</f>
        <v>0</v>
      </c>
      <c r="H130" s="80" t="s">
        <v>249</v>
      </c>
      <c r="I130" s="63">
        <f>C132</f>
        <v>0.14250000000000002</v>
      </c>
    </row>
    <row r="131" spans="1:9">
      <c r="A131" s="12" t="s">
        <v>45</v>
      </c>
      <c r="B131" t="s">
        <v>59</v>
      </c>
      <c r="C131" s="56">
        <f>Módulo663_59105[[#This Row],[Percentual]]</f>
        <v>0</v>
      </c>
      <c r="D131" s="49">
        <f>TRUNC((C131*(D126+D130)),2)</f>
        <v>0</v>
      </c>
      <c r="H131" s="86" t="s">
        <v>250</v>
      </c>
      <c r="I131" s="87">
        <f>TRUNC(SUM(D126,D130,D131),2)</f>
        <v>6754.25</v>
      </c>
    </row>
    <row r="132" spans="1:9">
      <c r="A132" s="12" t="s">
        <v>48</v>
      </c>
      <c r="B132" t="s">
        <v>168</v>
      </c>
      <c r="C132" s="56">
        <f>SUM(C133:C135)</f>
        <v>0.14250000000000002</v>
      </c>
      <c r="D132" s="49">
        <f>TRUNC((SUM(D133:D135)),2)</f>
        <v>1053.5999999999999</v>
      </c>
      <c r="H132" s="80" t="s">
        <v>251</v>
      </c>
      <c r="I132" s="88">
        <f>(100-8.65)/100</f>
        <v>0.91349999999999998</v>
      </c>
    </row>
    <row r="133" spans="1:9">
      <c r="B133" t="s">
        <v>252</v>
      </c>
      <c r="C133" s="56">
        <f>Módulo663_59105[[#This Row],[Percentual]]</f>
        <v>1.6500000000000001E-2</v>
      </c>
      <c r="D133" s="49">
        <f>TRUNC(($I$133*C133),2)</f>
        <v>121.99</v>
      </c>
      <c r="H133" s="86" t="s">
        <v>248</v>
      </c>
      <c r="I133" s="87">
        <f>TRUNC((I131/I132),2)</f>
        <v>7393.81</v>
      </c>
    </row>
    <row r="134" spans="1:9">
      <c r="B134" t="s">
        <v>253</v>
      </c>
      <c r="C134" s="56">
        <f>Módulo663_59105[[#This Row],[Percentual]]</f>
        <v>7.5999999999999998E-2</v>
      </c>
      <c r="D134" s="49">
        <f>TRUNC(($I$133*C134),2)</f>
        <v>561.91999999999996</v>
      </c>
    </row>
    <row r="135" spans="1:9">
      <c r="B135" t="s">
        <v>254</v>
      </c>
      <c r="C135" s="56">
        <f>Módulo663_59105[[#This Row],[Percentual]]</f>
        <v>0.05</v>
      </c>
      <c r="D135" s="49">
        <f>TRUNC(($I$133*C135),2)</f>
        <v>369.69</v>
      </c>
    </row>
    <row r="136" spans="1:9">
      <c r="A136" s="12" t="s">
        <v>58</v>
      </c>
      <c r="C136" s="1"/>
      <c r="D136" s="7">
        <f>TRUNC(SUM(D130:D132),2)</f>
        <v>1053.5999999999999</v>
      </c>
    </row>
    <row r="137" spans="1:9">
      <c r="C137" s="1"/>
      <c r="D137" s="7"/>
    </row>
    <row r="139" spans="1:9">
      <c r="A139" s="198" t="s">
        <v>172</v>
      </c>
      <c r="B139" s="198"/>
      <c r="C139" s="198"/>
      <c r="D139" s="198"/>
    </row>
    <row r="140" spans="1:9">
      <c r="A140" s="12" t="s">
        <v>16</v>
      </c>
      <c r="B140" s="1" t="s">
        <v>173</v>
      </c>
      <c r="C140" s="1" t="s">
        <v>102</v>
      </c>
      <c r="D140" s="1" t="s">
        <v>19</v>
      </c>
    </row>
    <row r="141" spans="1:9">
      <c r="A141" s="12" t="s">
        <v>42</v>
      </c>
      <c r="B141" t="s">
        <v>36</v>
      </c>
      <c r="D141" s="109">
        <f>D31</f>
        <v>3567.57</v>
      </c>
    </row>
    <row r="142" spans="1:9">
      <c r="A142" s="12" t="s">
        <v>45</v>
      </c>
      <c r="B142" t="s">
        <v>61</v>
      </c>
      <c r="D142" s="109">
        <f>D73</f>
        <v>2754.96</v>
      </c>
    </row>
    <row r="143" spans="1:9">
      <c r="A143" s="12" t="s">
        <v>48</v>
      </c>
      <c r="B143" t="s">
        <v>108</v>
      </c>
      <c r="D143" s="109">
        <f>D83</f>
        <v>211.51</v>
      </c>
    </row>
    <row r="144" spans="1:9">
      <c r="A144" s="12" t="s">
        <v>50</v>
      </c>
      <c r="B144" t="s">
        <v>174</v>
      </c>
      <c r="D144" s="109">
        <f>D110</f>
        <v>220.21</v>
      </c>
    </row>
    <row r="145" spans="1:4">
      <c r="A145" s="12" t="s">
        <v>53</v>
      </c>
      <c r="B145" t="s">
        <v>152</v>
      </c>
      <c r="D145" s="109">
        <f>D119</f>
        <v>0</v>
      </c>
    </row>
    <row r="146" spans="1:4">
      <c r="B146" s="89" t="s">
        <v>175</v>
      </c>
      <c r="D146" s="109">
        <f>TRUNC(SUM(D141:D145),2)</f>
        <v>6754.25</v>
      </c>
    </row>
    <row r="147" spans="1:4">
      <c r="A147" s="12" t="s">
        <v>55</v>
      </c>
      <c r="B147" t="s">
        <v>164</v>
      </c>
      <c r="D147" s="109">
        <f>D136</f>
        <v>1053.5999999999999</v>
      </c>
    </row>
    <row r="148" spans="1:4" ht="18.75">
      <c r="A148" s="101"/>
      <c r="B148" s="91" t="s">
        <v>256</v>
      </c>
      <c r="C148" s="20"/>
      <c r="D148" s="110">
        <f>TRUNC((SUM(D141:D145)+D147),2)</f>
        <v>7807.85</v>
      </c>
    </row>
    <row r="149" spans="1:4" ht="21">
      <c r="D149" s="112"/>
    </row>
    <row r="150" spans="1:4" ht="21">
      <c r="D150" s="112"/>
    </row>
  </sheetData>
  <mergeCells count="38">
    <mergeCell ref="A128:D128"/>
    <mergeCell ref="H129:I129"/>
    <mergeCell ref="A139:D139"/>
    <mergeCell ref="J116:K116"/>
    <mergeCell ref="H117:I117"/>
    <mergeCell ref="J117:K117"/>
    <mergeCell ref="H118:K119"/>
    <mergeCell ref="A121:B126"/>
    <mergeCell ref="A91:D91"/>
    <mergeCell ref="A101:D101"/>
    <mergeCell ref="A106:D106"/>
    <mergeCell ref="A112:D112"/>
    <mergeCell ref="H116:I116"/>
    <mergeCell ref="A57:D57"/>
    <mergeCell ref="A68:D68"/>
    <mergeCell ref="A75:D75"/>
    <mergeCell ref="A85:B88"/>
    <mergeCell ref="A90:D90"/>
    <mergeCell ref="H31:I31"/>
    <mergeCell ref="A33:D33"/>
    <mergeCell ref="A35:D35"/>
    <mergeCell ref="A41:B43"/>
    <mergeCell ref="A45:D45"/>
    <mergeCell ref="A14:B14"/>
    <mergeCell ref="A15:D15"/>
    <mergeCell ref="H15:I15"/>
    <mergeCell ref="H22:I22"/>
    <mergeCell ref="A23:D23"/>
    <mergeCell ref="C9:D9"/>
    <mergeCell ref="C10:D10"/>
    <mergeCell ref="A11:D11"/>
    <mergeCell ref="A12:B12"/>
    <mergeCell ref="A13:B13"/>
    <mergeCell ref="A2:D2"/>
    <mergeCell ref="A3:D3"/>
    <mergeCell ref="A6:D6"/>
    <mergeCell ref="C7:D7"/>
    <mergeCell ref="C8:D8"/>
  </mergeCells>
  <pageMargins left="0.25" right="0.25" top="0.75" bottom="0.75" header="0.511811023622047" footer="0.511811023622047"/>
  <pageSetup paperSize="9" scale="49" fitToHeight="0" orientation="portrait" horizontalDpi="300" verticalDpi="300"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H157"/>
  <sheetViews>
    <sheetView view="pageBreakPreview" zoomScale="90" zoomScaleNormal="90" zoomScaleSheetLayoutView="90" workbookViewId="0">
      <selection activeCell="E148" sqref="E148:E155"/>
    </sheetView>
  </sheetViews>
  <sheetFormatPr defaultColWidth="9.140625" defaultRowHeight="15"/>
  <cols>
    <col min="2" max="2" width="14" style="12" customWidth="1"/>
    <col min="3" max="3" width="39.42578125" customWidth="1"/>
    <col min="4" max="4" width="12" style="12" customWidth="1"/>
    <col min="5" max="5" width="13" customWidth="1"/>
    <col min="6" max="6" width="14.5703125" customWidth="1"/>
    <col min="7" max="7" width="15.42578125" customWidth="1"/>
    <col min="8" max="8" width="14.85546875" customWidth="1"/>
  </cols>
  <sheetData>
    <row r="1" spans="1:8">
      <c r="A1" s="215" t="s">
        <v>277</v>
      </c>
      <c r="B1" s="215"/>
      <c r="C1" s="215"/>
      <c r="D1" s="215"/>
      <c r="E1" s="215"/>
      <c r="F1" s="215"/>
      <c r="G1" s="215"/>
      <c r="H1" s="215"/>
    </row>
    <row r="2" spans="1:8">
      <c r="A2" s="216" t="s">
        <v>278</v>
      </c>
      <c r="B2" s="216"/>
      <c r="C2" s="216"/>
      <c r="D2" s="216"/>
      <c r="E2" s="216"/>
      <c r="F2" s="216"/>
      <c r="G2" s="216"/>
      <c r="H2" s="216"/>
    </row>
    <row r="3" spans="1:8" ht="75">
      <c r="A3" s="113" t="s">
        <v>279</v>
      </c>
      <c r="B3" s="113" t="s">
        <v>280</v>
      </c>
      <c r="C3" s="113" t="s">
        <v>281</v>
      </c>
      <c r="D3" s="113" t="s">
        <v>282</v>
      </c>
      <c r="E3" s="113" t="s">
        <v>283</v>
      </c>
      <c r="F3" s="113" t="s">
        <v>284</v>
      </c>
      <c r="G3" s="113" t="s">
        <v>285</v>
      </c>
      <c r="H3" s="113" t="s">
        <v>286</v>
      </c>
    </row>
    <row r="4" spans="1:8" ht="57">
      <c r="A4" s="114">
        <v>1</v>
      </c>
      <c r="B4" s="166" t="s">
        <v>287</v>
      </c>
      <c r="C4" s="166" t="s">
        <v>288</v>
      </c>
      <c r="D4" s="166" t="s">
        <v>178</v>
      </c>
      <c r="E4" s="180"/>
      <c r="F4" s="166">
        <v>4</v>
      </c>
      <c r="G4" s="115">
        <f t="shared" ref="G4:G16" si="0">TRUNC(F4*E4,2)</f>
        <v>0</v>
      </c>
      <c r="H4" s="115">
        <f t="shared" ref="H4:H16" si="1">TRUNC(G4/12,2)</f>
        <v>0</v>
      </c>
    </row>
    <row r="5" spans="1:8" ht="57">
      <c r="A5" s="114">
        <v>2</v>
      </c>
      <c r="B5" s="167" t="s">
        <v>289</v>
      </c>
      <c r="C5" s="167" t="s">
        <v>290</v>
      </c>
      <c r="D5" s="167" t="s">
        <v>178</v>
      </c>
      <c r="E5" s="180"/>
      <c r="F5" s="167">
        <v>2</v>
      </c>
      <c r="G5" s="117">
        <f t="shared" si="0"/>
        <v>0</v>
      </c>
      <c r="H5" s="117">
        <f t="shared" si="1"/>
        <v>0</v>
      </c>
    </row>
    <row r="6" spans="1:8" ht="77.25" customHeight="1">
      <c r="A6" s="114">
        <v>3</v>
      </c>
      <c r="B6" s="167" t="s">
        <v>289</v>
      </c>
      <c r="C6" s="167" t="s">
        <v>420</v>
      </c>
      <c r="D6" s="167" t="s">
        <v>178</v>
      </c>
      <c r="E6" s="180"/>
      <c r="F6" s="167">
        <v>2</v>
      </c>
      <c r="G6" s="117">
        <f t="shared" si="0"/>
        <v>0</v>
      </c>
      <c r="H6" s="115">
        <f t="shared" si="1"/>
        <v>0</v>
      </c>
    </row>
    <row r="7" spans="1:8" ht="42.75">
      <c r="A7" s="114">
        <v>4</v>
      </c>
      <c r="B7" s="167" t="s">
        <v>291</v>
      </c>
      <c r="C7" s="167" t="s">
        <v>292</v>
      </c>
      <c r="D7" s="167" t="s">
        <v>178</v>
      </c>
      <c r="E7" s="180"/>
      <c r="F7" s="167">
        <v>2</v>
      </c>
      <c r="G7" s="115">
        <f t="shared" si="0"/>
        <v>0</v>
      </c>
      <c r="H7" s="117">
        <f t="shared" si="1"/>
        <v>0</v>
      </c>
    </row>
    <row r="8" spans="1:8" ht="99.75">
      <c r="A8" s="114">
        <v>5</v>
      </c>
      <c r="B8" s="167" t="s">
        <v>395</v>
      </c>
      <c r="C8" s="167" t="s">
        <v>396</v>
      </c>
      <c r="D8" s="167" t="s">
        <v>178</v>
      </c>
      <c r="E8" s="180"/>
      <c r="F8" s="167">
        <v>2</v>
      </c>
      <c r="G8" s="117">
        <f t="shared" si="0"/>
        <v>0</v>
      </c>
      <c r="H8" s="115">
        <f t="shared" si="1"/>
        <v>0</v>
      </c>
    </row>
    <row r="9" spans="1:8" ht="71.25">
      <c r="A9" s="114">
        <v>6</v>
      </c>
      <c r="B9" s="167" t="s">
        <v>294</v>
      </c>
      <c r="C9" s="167" t="s">
        <v>295</v>
      </c>
      <c r="D9" s="167" t="s">
        <v>293</v>
      </c>
      <c r="E9" s="180"/>
      <c r="F9" s="167">
        <v>2</v>
      </c>
      <c r="G9" s="117">
        <f t="shared" si="0"/>
        <v>0</v>
      </c>
      <c r="H9" s="117">
        <f t="shared" si="1"/>
        <v>0</v>
      </c>
    </row>
    <row r="10" spans="1:8" ht="99.75">
      <c r="A10" s="114">
        <v>7</v>
      </c>
      <c r="B10" s="167" t="s">
        <v>294</v>
      </c>
      <c r="C10" s="167" t="s">
        <v>296</v>
      </c>
      <c r="D10" s="167" t="s">
        <v>293</v>
      </c>
      <c r="E10" s="180"/>
      <c r="F10" s="167">
        <v>1</v>
      </c>
      <c r="G10" s="115">
        <f t="shared" si="0"/>
        <v>0</v>
      </c>
      <c r="H10" s="115">
        <f t="shared" si="1"/>
        <v>0</v>
      </c>
    </row>
    <row r="11" spans="1:8" ht="85.5">
      <c r="A11" s="114">
        <v>8</v>
      </c>
      <c r="B11" s="167" t="s">
        <v>397</v>
      </c>
      <c r="C11" s="167" t="s">
        <v>398</v>
      </c>
      <c r="D11" s="167" t="s">
        <v>178</v>
      </c>
      <c r="E11" s="180"/>
      <c r="F11" s="167">
        <v>1</v>
      </c>
      <c r="G11" s="117">
        <f t="shared" si="0"/>
        <v>0</v>
      </c>
      <c r="H11" s="117">
        <f t="shared" si="1"/>
        <v>0</v>
      </c>
    </row>
    <row r="12" spans="1:8" ht="42.75">
      <c r="A12" s="114">
        <v>9</v>
      </c>
      <c r="B12" s="167" t="s">
        <v>297</v>
      </c>
      <c r="C12" s="167" t="s">
        <v>399</v>
      </c>
      <c r="D12" s="167" t="s">
        <v>178</v>
      </c>
      <c r="E12" s="180"/>
      <c r="F12" s="167">
        <v>2</v>
      </c>
      <c r="G12" s="117">
        <f t="shared" si="0"/>
        <v>0</v>
      </c>
      <c r="H12" s="115">
        <f t="shared" si="1"/>
        <v>0</v>
      </c>
    </row>
    <row r="13" spans="1:8" ht="85.5">
      <c r="A13" s="114">
        <v>10</v>
      </c>
      <c r="B13" s="167" t="s">
        <v>299</v>
      </c>
      <c r="C13" s="167" t="s">
        <v>300</v>
      </c>
      <c r="D13" s="167" t="s">
        <v>178</v>
      </c>
      <c r="E13" s="180"/>
      <c r="F13" s="167">
        <v>2</v>
      </c>
      <c r="G13" s="115">
        <f t="shared" si="0"/>
        <v>0</v>
      </c>
      <c r="H13" s="117">
        <f t="shared" si="1"/>
        <v>0</v>
      </c>
    </row>
    <row r="14" spans="1:8" ht="71.25">
      <c r="A14" s="114">
        <v>11</v>
      </c>
      <c r="B14" s="169" t="s">
        <v>308</v>
      </c>
      <c r="C14" s="169" t="s">
        <v>400</v>
      </c>
      <c r="D14" s="169" t="s">
        <v>293</v>
      </c>
      <c r="E14" s="180"/>
      <c r="F14" s="169">
        <v>6</v>
      </c>
      <c r="G14" s="117">
        <f t="shared" si="0"/>
        <v>0</v>
      </c>
      <c r="H14" s="115">
        <f t="shared" si="1"/>
        <v>0</v>
      </c>
    </row>
    <row r="15" spans="1:8" ht="28.5">
      <c r="A15" s="114">
        <v>12</v>
      </c>
      <c r="B15" s="167" t="s">
        <v>301</v>
      </c>
      <c r="C15" s="167" t="s">
        <v>401</v>
      </c>
      <c r="D15" s="167" t="s">
        <v>178</v>
      </c>
      <c r="E15" s="180"/>
      <c r="F15" s="167">
        <v>4</v>
      </c>
      <c r="G15" s="117">
        <f t="shared" si="0"/>
        <v>0</v>
      </c>
      <c r="H15" s="117">
        <f t="shared" si="1"/>
        <v>0</v>
      </c>
    </row>
    <row r="16" spans="1:8" ht="99.75">
      <c r="A16" s="114">
        <v>13</v>
      </c>
      <c r="B16" s="171" t="s">
        <v>302</v>
      </c>
      <c r="C16" s="167" t="s">
        <v>303</v>
      </c>
      <c r="D16" s="167" t="s">
        <v>178</v>
      </c>
      <c r="E16" s="180"/>
      <c r="F16" s="167">
        <v>12</v>
      </c>
      <c r="G16" s="115">
        <f t="shared" si="0"/>
        <v>0</v>
      </c>
      <c r="H16" s="115">
        <f t="shared" si="1"/>
        <v>0</v>
      </c>
    </row>
    <row r="17" spans="1:8">
      <c r="A17" s="217" t="s">
        <v>221</v>
      </c>
      <c r="B17" s="217"/>
      <c r="C17" s="217"/>
      <c r="D17" s="217"/>
      <c r="E17" s="217"/>
      <c r="F17" s="217"/>
      <c r="G17" s="218">
        <f>TRUNC(SUM(H4:H16),2)</f>
        <v>0</v>
      </c>
      <c r="H17" s="218"/>
    </row>
    <row r="18" spans="1:8">
      <c r="A18" s="118"/>
      <c r="B18" s="119"/>
      <c r="C18" s="118"/>
      <c r="D18" s="119"/>
      <c r="E18" s="118"/>
      <c r="F18" s="118"/>
      <c r="G18" s="118"/>
      <c r="H18" s="118"/>
    </row>
    <row r="19" spans="1:8">
      <c r="A19" s="118"/>
      <c r="B19" s="119"/>
      <c r="C19" s="118"/>
      <c r="D19" s="119"/>
      <c r="E19" s="118"/>
      <c r="F19" s="118"/>
      <c r="G19" s="118"/>
      <c r="H19" s="118"/>
    </row>
    <row r="20" spans="1:8">
      <c r="A20" s="219" t="s">
        <v>277</v>
      </c>
      <c r="B20" s="219"/>
      <c r="C20" s="219"/>
      <c r="D20" s="219"/>
      <c r="E20" s="219"/>
      <c r="F20" s="219"/>
      <c r="G20" s="219"/>
      <c r="H20" s="219"/>
    </row>
    <row r="21" spans="1:8">
      <c r="A21" s="216" t="s">
        <v>304</v>
      </c>
      <c r="B21" s="216"/>
      <c r="C21" s="216"/>
      <c r="D21" s="216"/>
      <c r="E21" s="216"/>
      <c r="F21" s="216"/>
      <c r="G21" s="216"/>
      <c r="H21" s="216"/>
    </row>
    <row r="22" spans="1:8" ht="75">
      <c r="A22" s="113" t="s">
        <v>279</v>
      </c>
      <c r="B22" s="113" t="s">
        <v>280</v>
      </c>
      <c r="C22" s="113" t="s">
        <v>281</v>
      </c>
      <c r="D22" s="113" t="s">
        <v>282</v>
      </c>
      <c r="E22" s="113" t="s">
        <v>283</v>
      </c>
      <c r="F22" s="113" t="s">
        <v>284</v>
      </c>
      <c r="G22" s="113" t="s">
        <v>285</v>
      </c>
      <c r="H22" s="113" t="s">
        <v>286</v>
      </c>
    </row>
    <row r="23" spans="1:8" ht="85.5">
      <c r="A23" s="116">
        <v>1</v>
      </c>
      <c r="B23" s="167" t="s">
        <v>287</v>
      </c>
      <c r="C23" s="172" t="s">
        <v>305</v>
      </c>
      <c r="D23" s="167" t="s">
        <v>178</v>
      </c>
      <c r="E23" s="180"/>
      <c r="F23" s="167">
        <v>4</v>
      </c>
      <c r="G23" s="117">
        <f t="shared" ref="G23:G35" si="2">TRUNC(F23*E23,2)</f>
        <v>0</v>
      </c>
      <c r="H23" s="117">
        <f t="shared" ref="H23:H35" si="3">TRUNC(G23/12,2)</f>
        <v>0</v>
      </c>
    </row>
    <row r="24" spans="1:8" ht="114">
      <c r="A24" s="116">
        <v>2</v>
      </c>
      <c r="B24" s="167" t="s">
        <v>289</v>
      </c>
      <c r="C24" s="172" t="s">
        <v>306</v>
      </c>
      <c r="D24" s="167" t="s">
        <v>178</v>
      </c>
      <c r="E24" s="180"/>
      <c r="F24" s="167">
        <v>2</v>
      </c>
      <c r="G24" s="117">
        <f t="shared" si="2"/>
        <v>0</v>
      </c>
      <c r="H24" s="117">
        <f t="shared" si="3"/>
        <v>0</v>
      </c>
    </row>
    <row r="25" spans="1:8" ht="57">
      <c r="A25" s="116">
        <v>3</v>
      </c>
      <c r="B25" s="167" t="s">
        <v>289</v>
      </c>
      <c r="C25" s="172" t="s">
        <v>420</v>
      </c>
      <c r="D25" s="167" t="s">
        <v>178</v>
      </c>
      <c r="E25" s="180"/>
      <c r="F25" s="167">
        <v>2</v>
      </c>
      <c r="G25" s="117">
        <f t="shared" si="2"/>
        <v>0</v>
      </c>
      <c r="H25" s="117">
        <f t="shared" si="3"/>
        <v>0</v>
      </c>
    </row>
    <row r="26" spans="1:8" ht="85.5">
      <c r="A26" s="116">
        <v>4</v>
      </c>
      <c r="B26" s="167" t="s">
        <v>397</v>
      </c>
      <c r="C26" s="172" t="s">
        <v>398</v>
      </c>
      <c r="D26" s="167" t="s">
        <v>178</v>
      </c>
      <c r="E26" s="180"/>
      <c r="F26" s="167">
        <v>1</v>
      </c>
      <c r="G26" s="117">
        <f t="shared" si="2"/>
        <v>0</v>
      </c>
      <c r="H26" s="117">
        <f t="shared" si="3"/>
        <v>0</v>
      </c>
    </row>
    <row r="27" spans="1:8" ht="42.75">
      <c r="A27" s="116">
        <v>5</v>
      </c>
      <c r="B27" s="167" t="s">
        <v>291</v>
      </c>
      <c r="C27" s="172" t="s">
        <v>292</v>
      </c>
      <c r="D27" s="167" t="s">
        <v>178</v>
      </c>
      <c r="E27" s="180"/>
      <c r="F27" s="167">
        <v>2</v>
      </c>
      <c r="G27" s="117">
        <f t="shared" si="2"/>
        <v>0</v>
      </c>
      <c r="H27" s="117">
        <f t="shared" si="3"/>
        <v>0</v>
      </c>
    </row>
    <row r="28" spans="1:8" ht="99.75">
      <c r="A28" s="116">
        <v>6</v>
      </c>
      <c r="B28" s="167" t="s">
        <v>395</v>
      </c>
      <c r="C28" s="172" t="s">
        <v>396</v>
      </c>
      <c r="D28" s="167" t="s">
        <v>178</v>
      </c>
      <c r="E28" s="180"/>
      <c r="F28" s="167">
        <v>2</v>
      </c>
      <c r="G28" s="117">
        <f t="shared" si="2"/>
        <v>0</v>
      </c>
      <c r="H28" s="117">
        <f t="shared" si="3"/>
        <v>0</v>
      </c>
    </row>
    <row r="29" spans="1:8" ht="114">
      <c r="A29" s="116">
        <v>7</v>
      </c>
      <c r="B29" s="167" t="s">
        <v>294</v>
      </c>
      <c r="C29" s="172" t="s">
        <v>307</v>
      </c>
      <c r="D29" s="167" t="s">
        <v>293</v>
      </c>
      <c r="E29" s="180"/>
      <c r="F29" s="167">
        <v>2</v>
      </c>
      <c r="G29" s="117">
        <f t="shared" si="2"/>
        <v>0</v>
      </c>
      <c r="H29" s="117">
        <f t="shared" si="3"/>
        <v>0</v>
      </c>
    </row>
    <row r="30" spans="1:8" ht="42.75">
      <c r="A30" s="116">
        <v>8</v>
      </c>
      <c r="B30" s="167" t="s">
        <v>297</v>
      </c>
      <c r="C30" s="172" t="s">
        <v>402</v>
      </c>
      <c r="D30" s="167" t="s">
        <v>178</v>
      </c>
      <c r="E30" s="180"/>
      <c r="F30" s="167">
        <v>2</v>
      </c>
      <c r="G30" s="117">
        <f t="shared" si="2"/>
        <v>0</v>
      </c>
      <c r="H30" s="117">
        <f t="shared" si="3"/>
        <v>0</v>
      </c>
    </row>
    <row r="31" spans="1:8" ht="71.25">
      <c r="A31" s="116">
        <v>9</v>
      </c>
      <c r="B31" s="167" t="s">
        <v>308</v>
      </c>
      <c r="C31" s="172" t="s">
        <v>451</v>
      </c>
      <c r="D31" s="167" t="s">
        <v>293</v>
      </c>
      <c r="E31" s="180"/>
      <c r="F31" s="167">
        <v>1</v>
      </c>
      <c r="G31" s="117">
        <f t="shared" si="2"/>
        <v>0</v>
      </c>
      <c r="H31" s="117">
        <f t="shared" si="3"/>
        <v>0</v>
      </c>
    </row>
    <row r="32" spans="1:8" ht="57">
      <c r="A32" s="116">
        <v>10</v>
      </c>
      <c r="B32" s="167" t="s">
        <v>308</v>
      </c>
      <c r="C32" s="172" t="s">
        <v>309</v>
      </c>
      <c r="D32" s="167" t="s">
        <v>293</v>
      </c>
      <c r="E32" s="180"/>
      <c r="F32" s="167">
        <v>1</v>
      </c>
      <c r="G32" s="117">
        <f t="shared" si="2"/>
        <v>0</v>
      </c>
      <c r="H32" s="117">
        <f t="shared" si="3"/>
        <v>0</v>
      </c>
    </row>
    <row r="33" spans="1:8" ht="42.75">
      <c r="A33" s="116">
        <v>11</v>
      </c>
      <c r="B33" s="167" t="s">
        <v>308</v>
      </c>
      <c r="C33" s="172" t="s">
        <v>403</v>
      </c>
      <c r="D33" s="167" t="s">
        <v>293</v>
      </c>
      <c r="E33" s="180"/>
      <c r="F33" s="167">
        <v>2</v>
      </c>
      <c r="G33" s="117">
        <f t="shared" si="2"/>
        <v>0</v>
      </c>
      <c r="H33" s="117">
        <f t="shared" si="3"/>
        <v>0</v>
      </c>
    </row>
    <row r="34" spans="1:8" ht="28.5">
      <c r="A34" s="116">
        <v>12</v>
      </c>
      <c r="B34" s="167" t="s">
        <v>301</v>
      </c>
      <c r="C34" s="172" t="s">
        <v>401</v>
      </c>
      <c r="D34" s="167" t="s">
        <v>178</v>
      </c>
      <c r="E34" s="180"/>
      <c r="F34" s="167">
        <v>4</v>
      </c>
      <c r="G34" s="117">
        <f t="shared" si="2"/>
        <v>0</v>
      </c>
      <c r="H34" s="117">
        <f t="shared" si="3"/>
        <v>0</v>
      </c>
    </row>
    <row r="35" spans="1:8" ht="99.75">
      <c r="A35" s="116">
        <v>13</v>
      </c>
      <c r="B35" s="167" t="s">
        <v>302</v>
      </c>
      <c r="C35" s="172" t="s">
        <v>303</v>
      </c>
      <c r="D35" s="167" t="s">
        <v>178</v>
      </c>
      <c r="E35" s="180"/>
      <c r="F35" s="167">
        <v>12</v>
      </c>
      <c r="G35" s="117">
        <f t="shared" si="2"/>
        <v>0</v>
      </c>
      <c r="H35" s="117">
        <f t="shared" si="3"/>
        <v>0</v>
      </c>
    </row>
    <row r="36" spans="1:8">
      <c r="A36" s="220" t="s">
        <v>221</v>
      </c>
      <c r="B36" s="220"/>
      <c r="C36" s="220"/>
      <c r="D36" s="220"/>
      <c r="E36" s="220"/>
      <c r="F36" s="220"/>
      <c r="G36" s="221">
        <f>TRUNC(SUM(H23:H35),2)</f>
        <v>0</v>
      </c>
      <c r="H36" s="221"/>
    </row>
    <row r="37" spans="1:8">
      <c r="A37" s="118"/>
      <c r="B37" s="119"/>
      <c r="C37" s="118"/>
      <c r="D37" s="119"/>
      <c r="E37" s="118"/>
      <c r="F37" s="118"/>
      <c r="G37" s="118"/>
      <c r="H37" s="118"/>
    </row>
    <row r="38" spans="1:8">
      <c r="A38" s="118"/>
      <c r="B38" s="119"/>
      <c r="C38" s="118"/>
      <c r="D38" s="119"/>
      <c r="E38" s="118"/>
      <c r="F38" s="118"/>
      <c r="G38" s="118"/>
      <c r="H38" s="118"/>
    </row>
    <row r="39" spans="1:8">
      <c r="A39" s="215" t="s">
        <v>277</v>
      </c>
      <c r="B39" s="215"/>
      <c r="C39" s="215"/>
      <c r="D39" s="215"/>
      <c r="E39" s="215"/>
      <c r="F39" s="215"/>
      <c r="G39" s="215"/>
      <c r="H39" s="215"/>
    </row>
    <row r="40" spans="1:8">
      <c r="A40" s="216" t="s">
        <v>310</v>
      </c>
      <c r="B40" s="216"/>
      <c r="C40" s="216"/>
      <c r="D40" s="216"/>
      <c r="E40" s="216"/>
      <c r="F40" s="216"/>
      <c r="G40" s="216"/>
      <c r="H40" s="216"/>
    </row>
    <row r="41" spans="1:8" ht="75">
      <c r="A41" s="113" t="s">
        <v>279</v>
      </c>
      <c r="B41" s="113" t="s">
        <v>280</v>
      </c>
      <c r="C41" s="113" t="s">
        <v>281</v>
      </c>
      <c r="D41" s="113" t="s">
        <v>282</v>
      </c>
      <c r="E41" s="113" t="s">
        <v>283</v>
      </c>
      <c r="F41" s="113" t="s">
        <v>284</v>
      </c>
      <c r="G41" s="113" t="s">
        <v>285</v>
      </c>
      <c r="H41" s="113" t="s">
        <v>286</v>
      </c>
    </row>
    <row r="42" spans="1:8" ht="57">
      <c r="A42" s="116">
        <v>1</v>
      </c>
      <c r="B42" s="167" t="s">
        <v>287</v>
      </c>
      <c r="C42" s="172" t="s">
        <v>288</v>
      </c>
      <c r="D42" s="167" t="s">
        <v>178</v>
      </c>
      <c r="E42" s="180"/>
      <c r="F42" s="167">
        <v>4</v>
      </c>
      <c r="G42" s="117">
        <f t="shared" ref="G42:G51" si="4">TRUNC(F42*E42,2)</f>
        <v>0</v>
      </c>
      <c r="H42" s="117">
        <f t="shared" ref="H42:H51" si="5">TRUNC(G42/12,2)</f>
        <v>0</v>
      </c>
    </row>
    <row r="43" spans="1:8" ht="57">
      <c r="A43" s="116">
        <v>2</v>
      </c>
      <c r="B43" s="167" t="s">
        <v>289</v>
      </c>
      <c r="C43" s="172" t="s">
        <v>290</v>
      </c>
      <c r="D43" s="167" t="s">
        <v>178</v>
      </c>
      <c r="E43" s="180"/>
      <c r="F43" s="167">
        <v>2</v>
      </c>
      <c r="G43" s="117">
        <f t="shared" si="4"/>
        <v>0</v>
      </c>
      <c r="H43" s="117">
        <f t="shared" si="5"/>
        <v>0</v>
      </c>
    </row>
    <row r="44" spans="1:8" ht="57">
      <c r="A44" s="116">
        <v>3</v>
      </c>
      <c r="B44" s="167" t="s">
        <v>289</v>
      </c>
      <c r="C44" s="172" t="s">
        <v>420</v>
      </c>
      <c r="D44" s="167" t="s">
        <v>178</v>
      </c>
      <c r="E44" s="180"/>
      <c r="F44" s="167">
        <v>2</v>
      </c>
      <c r="G44" s="117">
        <f t="shared" si="4"/>
        <v>0</v>
      </c>
      <c r="H44" s="117">
        <f t="shared" si="5"/>
        <v>0</v>
      </c>
    </row>
    <row r="45" spans="1:8" ht="85.5">
      <c r="A45" s="116">
        <v>4</v>
      </c>
      <c r="B45" s="167" t="s">
        <v>397</v>
      </c>
      <c r="C45" s="172" t="s">
        <v>398</v>
      </c>
      <c r="D45" s="167" t="s">
        <v>178</v>
      </c>
      <c r="E45" s="180"/>
      <c r="F45" s="167">
        <v>1</v>
      </c>
      <c r="G45" s="117">
        <f t="shared" si="4"/>
        <v>0</v>
      </c>
      <c r="H45" s="117">
        <f t="shared" si="5"/>
        <v>0</v>
      </c>
    </row>
    <row r="46" spans="1:8" ht="42.75">
      <c r="A46" s="116">
        <v>5</v>
      </c>
      <c r="B46" s="167" t="s">
        <v>291</v>
      </c>
      <c r="C46" s="172" t="s">
        <v>292</v>
      </c>
      <c r="D46" s="167" t="s">
        <v>178</v>
      </c>
      <c r="E46" s="180"/>
      <c r="F46" s="167">
        <v>2</v>
      </c>
      <c r="G46" s="117">
        <f t="shared" si="4"/>
        <v>0</v>
      </c>
      <c r="H46" s="117">
        <f t="shared" si="5"/>
        <v>0</v>
      </c>
    </row>
    <row r="47" spans="1:8" ht="99.75">
      <c r="A47" s="116">
        <v>6</v>
      </c>
      <c r="B47" s="167" t="s">
        <v>395</v>
      </c>
      <c r="C47" s="172" t="s">
        <v>396</v>
      </c>
      <c r="D47" s="167" t="s">
        <v>293</v>
      </c>
      <c r="E47" s="180"/>
      <c r="F47" s="167">
        <v>2</v>
      </c>
      <c r="G47" s="117">
        <f t="shared" si="4"/>
        <v>0</v>
      </c>
      <c r="H47" s="117">
        <f t="shared" si="5"/>
        <v>0</v>
      </c>
    </row>
    <row r="48" spans="1:8" ht="99.75">
      <c r="A48" s="116">
        <v>7</v>
      </c>
      <c r="B48" s="167" t="s">
        <v>294</v>
      </c>
      <c r="C48" s="172" t="s">
        <v>296</v>
      </c>
      <c r="D48" s="167" t="s">
        <v>293</v>
      </c>
      <c r="E48" s="180"/>
      <c r="F48" s="167">
        <v>2</v>
      </c>
      <c r="G48" s="117">
        <f t="shared" si="4"/>
        <v>0</v>
      </c>
      <c r="H48" s="117">
        <f t="shared" si="5"/>
        <v>0</v>
      </c>
    </row>
    <row r="49" spans="1:8" ht="57">
      <c r="A49" s="116">
        <v>8</v>
      </c>
      <c r="B49" s="167" t="s">
        <v>297</v>
      </c>
      <c r="C49" s="172" t="s">
        <v>298</v>
      </c>
      <c r="D49" s="167" t="s">
        <v>178</v>
      </c>
      <c r="E49" s="180"/>
      <c r="F49" s="167">
        <v>2</v>
      </c>
      <c r="G49" s="117">
        <f t="shared" si="4"/>
        <v>0</v>
      </c>
      <c r="H49" s="117">
        <f t="shared" si="5"/>
        <v>0</v>
      </c>
    </row>
    <row r="50" spans="1:8" ht="28.5">
      <c r="A50" s="116">
        <v>9</v>
      </c>
      <c r="B50" s="167" t="s">
        <v>301</v>
      </c>
      <c r="C50" s="172" t="s">
        <v>401</v>
      </c>
      <c r="D50" s="167" t="s">
        <v>178</v>
      </c>
      <c r="E50" s="180"/>
      <c r="F50" s="167">
        <v>4</v>
      </c>
      <c r="G50" s="117">
        <f t="shared" si="4"/>
        <v>0</v>
      </c>
      <c r="H50" s="117">
        <f t="shared" si="5"/>
        <v>0</v>
      </c>
    </row>
    <row r="51" spans="1:8" ht="99.75">
      <c r="A51" s="116">
        <v>10</v>
      </c>
      <c r="B51" s="167" t="s">
        <v>302</v>
      </c>
      <c r="C51" s="172" t="s">
        <v>303</v>
      </c>
      <c r="D51" s="167" t="s">
        <v>178</v>
      </c>
      <c r="E51" s="180"/>
      <c r="F51" s="167">
        <v>12</v>
      </c>
      <c r="G51" s="117">
        <f t="shared" si="4"/>
        <v>0</v>
      </c>
      <c r="H51" s="117">
        <f t="shared" si="5"/>
        <v>0</v>
      </c>
    </row>
    <row r="52" spans="1:8">
      <c r="A52" s="220" t="s">
        <v>221</v>
      </c>
      <c r="B52" s="220"/>
      <c r="C52" s="220"/>
      <c r="D52" s="220"/>
      <c r="E52" s="220"/>
      <c r="F52" s="220"/>
      <c r="G52" s="221">
        <f>TRUNC(SUM(H42:H51),2)</f>
        <v>0</v>
      </c>
      <c r="H52" s="221"/>
    </row>
    <row r="53" spans="1:8">
      <c r="A53" s="118"/>
      <c r="B53" s="119"/>
      <c r="C53" s="118"/>
      <c r="D53" s="119"/>
      <c r="E53" s="118"/>
      <c r="F53" s="118"/>
      <c r="G53" s="118"/>
      <c r="H53" s="118"/>
    </row>
    <row r="54" spans="1:8">
      <c r="A54" s="215" t="s">
        <v>277</v>
      </c>
      <c r="B54" s="215"/>
      <c r="C54" s="215"/>
      <c r="D54" s="215"/>
      <c r="E54" s="215"/>
      <c r="F54" s="215"/>
      <c r="G54" s="215"/>
      <c r="H54" s="215"/>
    </row>
    <row r="55" spans="1:8">
      <c r="A55" s="216" t="s">
        <v>450</v>
      </c>
      <c r="B55" s="216"/>
      <c r="C55" s="216"/>
      <c r="D55" s="216"/>
      <c r="E55" s="216"/>
      <c r="F55" s="216"/>
      <c r="G55" s="216"/>
      <c r="H55" s="216"/>
    </row>
    <row r="56" spans="1:8" ht="75">
      <c r="A56" s="113" t="s">
        <v>279</v>
      </c>
      <c r="B56" s="113" t="s">
        <v>280</v>
      </c>
      <c r="C56" s="113" t="s">
        <v>281</v>
      </c>
      <c r="D56" s="113" t="s">
        <v>282</v>
      </c>
      <c r="E56" s="113" t="s">
        <v>283</v>
      </c>
      <c r="F56" s="113" t="s">
        <v>284</v>
      </c>
      <c r="G56" s="113" t="s">
        <v>285</v>
      </c>
      <c r="H56" s="113" t="s">
        <v>286</v>
      </c>
    </row>
    <row r="57" spans="1:8" ht="57">
      <c r="A57" s="171">
        <v>1</v>
      </c>
      <c r="B57" s="167" t="s">
        <v>287</v>
      </c>
      <c r="C57" s="172" t="s">
        <v>288</v>
      </c>
      <c r="D57" s="167" t="s">
        <v>178</v>
      </c>
      <c r="E57" s="180"/>
      <c r="F57" s="167">
        <v>4</v>
      </c>
      <c r="G57" s="117">
        <f t="shared" ref="G57:G67" si="6">TRUNC(F57*E57,2)</f>
        <v>0</v>
      </c>
      <c r="H57" s="117">
        <f t="shared" ref="H57:H67" si="7">TRUNC(G57/12,2)</f>
        <v>0</v>
      </c>
    </row>
    <row r="58" spans="1:8" ht="57">
      <c r="A58" s="171">
        <v>2</v>
      </c>
      <c r="B58" s="167" t="s">
        <v>289</v>
      </c>
      <c r="C58" s="172" t="s">
        <v>290</v>
      </c>
      <c r="D58" s="167" t="s">
        <v>178</v>
      </c>
      <c r="E58" s="180"/>
      <c r="F58" s="167">
        <v>2</v>
      </c>
      <c r="G58" s="117">
        <f t="shared" si="6"/>
        <v>0</v>
      </c>
      <c r="H58" s="117">
        <f t="shared" si="7"/>
        <v>0</v>
      </c>
    </row>
    <row r="59" spans="1:8" ht="57">
      <c r="A59" s="171">
        <v>3</v>
      </c>
      <c r="B59" s="167" t="s">
        <v>289</v>
      </c>
      <c r="C59" s="172" t="s">
        <v>420</v>
      </c>
      <c r="D59" s="167" t="s">
        <v>178</v>
      </c>
      <c r="E59" s="180"/>
      <c r="F59" s="167">
        <v>2</v>
      </c>
      <c r="G59" s="117">
        <f t="shared" si="6"/>
        <v>0</v>
      </c>
      <c r="H59" s="117">
        <f t="shared" si="7"/>
        <v>0</v>
      </c>
    </row>
    <row r="60" spans="1:8" ht="85.5">
      <c r="A60" s="171">
        <v>4</v>
      </c>
      <c r="B60" s="167" t="s">
        <v>397</v>
      </c>
      <c r="C60" s="172" t="s">
        <v>398</v>
      </c>
      <c r="D60" s="167" t="s">
        <v>178</v>
      </c>
      <c r="E60" s="180"/>
      <c r="F60" s="167">
        <v>1</v>
      </c>
      <c r="G60" s="117">
        <f t="shared" si="6"/>
        <v>0</v>
      </c>
      <c r="H60" s="117">
        <f t="shared" si="7"/>
        <v>0</v>
      </c>
    </row>
    <row r="61" spans="1:8" ht="42.75">
      <c r="A61" s="171">
        <v>5</v>
      </c>
      <c r="B61" s="167" t="s">
        <v>291</v>
      </c>
      <c r="C61" s="172" t="s">
        <v>292</v>
      </c>
      <c r="D61" s="167" t="s">
        <v>282</v>
      </c>
      <c r="E61" s="180"/>
      <c r="F61" s="167">
        <v>2</v>
      </c>
      <c r="G61" s="117">
        <f t="shared" si="6"/>
        <v>0</v>
      </c>
      <c r="H61" s="117">
        <f t="shared" si="7"/>
        <v>0</v>
      </c>
    </row>
    <row r="62" spans="1:8" ht="99.75">
      <c r="A62" s="171">
        <v>6</v>
      </c>
      <c r="B62" s="167" t="s">
        <v>395</v>
      </c>
      <c r="C62" s="172" t="s">
        <v>396</v>
      </c>
      <c r="D62" s="167" t="s">
        <v>293</v>
      </c>
      <c r="E62" s="180"/>
      <c r="F62" s="167">
        <v>2</v>
      </c>
      <c r="G62" s="117">
        <f t="shared" si="6"/>
        <v>0</v>
      </c>
      <c r="H62" s="117">
        <f t="shared" si="7"/>
        <v>0</v>
      </c>
    </row>
    <row r="63" spans="1:8" ht="114">
      <c r="A63" s="171">
        <v>7</v>
      </c>
      <c r="B63" s="167" t="s">
        <v>294</v>
      </c>
      <c r="C63" s="172" t="s">
        <v>307</v>
      </c>
      <c r="D63" s="167" t="s">
        <v>293</v>
      </c>
      <c r="E63" s="180"/>
      <c r="F63" s="167">
        <v>2</v>
      </c>
      <c r="G63" s="117">
        <f t="shared" si="6"/>
        <v>0</v>
      </c>
      <c r="H63" s="117">
        <f t="shared" si="7"/>
        <v>0</v>
      </c>
    </row>
    <row r="64" spans="1:8" ht="42.75">
      <c r="A64" s="171">
        <v>8</v>
      </c>
      <c r="B64" s="167" t="s">
        <v>297</v>
      </c>
      <c r="C64" s="172" t="s">
        <v>402</v>
      </c>
      <c r="D64" s="167" t="s">
        <v>178</v>
      </c>
      <c r="E64" s="180"/>
      <c r="F64" s="167">
        <v>2</v>
      </c>
      <c r="G64" s="117">
        <f t="shared" si="6"/>
        <v>0</v>
      </c>
      <c r="H64" s="117">
        <f t="shared" si="7"/>
        <v>0</v>
      </c>
    </row>
    <row r="65" spans="1:8" ht="114">
      <c r="A65" s="171">
        <v>9</v>
      </c>
      <c r="B65" s="167" t="s">
        <v>308</v>
      </c>
      <c r="C65" s="172" t="s">
        <v>404</v>
      </c>
      <c r="D65" s="167" t="s">
        <v>293</v>
      </c>
      <c r="E65" s="180"/>
      <c r="F65" s="167">
        <v>4</v>
      </c>
      <c r="G65" s="117">
        <f t="shared" si="6"/>
        <v>0</v>
      </c>
      <c r="H65" s="117">
        <f t="shared" si="7"/>
        <v>0</v>
      </c>
    </row>
    <row r="66" spans="1:8" ht="28.5">
      <c r="A66" s="171">
        <v>10</v>
      </c>
      <c r="B66" s="167" t="s">
        <v>301</v>
      </c>
      <c r="C66" s="172" t="s">
        <v>401</v>
      </c>
      <c r="D66" s="167" t="s">
        <v>178</v>
      </c>
      <c r="E66" s="180"/>
      <c r="F66" s="167">
        <v>4</v>
      </c>
      <c r="G66" s="117">
        <f t="shared" si="6"/>
        <v>0</v>
      </c>
      <c r="H66" s="117">
        <f t="shared" si="7"/>
        <v>0</v>
      </c>
    </row>
    <row r="67" spans="1:8" ht="99.75">
      <c r="A67" s="171">
        <v>11</v>
      </c>
      <c r="B67" s="167" t="s">
        <v>302</v>
      </c>
      <c r="C67" s="172" t="s">
        <v>303</v>
      </c>
      <c r="D67" s="167" t="s">
        <v>178</v>
      </c>
      <c r="E67" s="180"/>
      <c r="F67" s="167">
        <v>12</v>
      </c>
      <c r="G67" s="117">
        <f t="shared" si="6"/>
        <v>0</v>
      </c>
      <c r="H67" s="117">
        <f t="shared" si="7"/>
        <v>0</v>
      </c>
    </row>
    <row r="68" spans="1:8">
      <c r="A68" s="220" t="s">
        <v>221</v>
      </c>
      <c r="B68" s="220"/>
      <c r="C68" s="220"/>
      <c r="D68" s="220"/>
      <c r="E68" s="220"/>
      <c r="F68" s="220"/>
      <c r="G68" s="221">
        <f>TRUNC(SUM(H57:H67),2)</f>
        <v>0</v>
      </c>
      <c r="H68" s="221"/>
    </row>
    <row r="69" spans="1:8">
      <c r="A69" s="118"/>
      <c r="B69" s="119"/>
      <c r="C69" s="118"/>
      <c r="D69" s="119"/>
      <c r="E69" s="118"/>
      <c r="F69" s="118"/>
      <c r="G69" s="118"/>
      <c r="H69" s="118"/>
    </row>
    <row r="70" spans="1:8">
      <c r="A70" s="118"/>
      <c r="B70" s="119"/>
      <c r="C70" s="118"/>
      <c r="D70" s="119"/>
      <c r="E70" s="118"/>
      <c r="F70" s="118"/>
      <c r="G70" s="118"/>
      <c r="H70" s="118"/>
    </row>
    <row r="71" spans="1:8">
      <c r="A71" s="215" t="s">
        <v>277</v>
      </c>
      <c r="B71" s="215"/>
      <c r="C71" s="215"/>
      <c r="D71" s="215"/>
      <c r="E71" s="215"/>
      <c r="F71" s="215"/>
      <c r="G71" s="215"/>
      <c r="H71" s="215"/>
    </row>
    <row r="72" spans="1:8">
      <c r="A72" s="216" t="s">
        <v>311</v>
      </c>
      <c r="B72" s="216"/>
      <c r="C72" s="216"/>
      <c r="D72" s="216"/>
      <c r="E72" s="216"/>
      <c r="F72" s="216"/>
      <c r="G72" s="216"/>
      <c r="H72" s="216"/>
    </row>
    <row r="73" spans="1:8" ht="75">
      <c r="A73" s="113" t="s">
        <v>279</v>
      </c>
      <c r="B73" s="113" t="s">
        <v>280</v>
      </c>
      <c r="C73" s="113" t="s">
        <v>281</v>
      </c>
      <c r="D73" s="113" t="s">
        <v>282</v>
      </c>
      <c r="E73" s="113" t="s">
        <v>283</v>
      </c>
      <c r="F73" s="113" t="s">
        <v>284</v>
      </c>
      <c r="G73" s="113" t="s">
        <v>285</v>
      </c>
      <c r="H73" s="113" t="s">
        <v>286</v>
      </c>
    </row>
    <row r="74" spans="1:8" ht="57.75">
      <c r="A74" s="171">
        <v>1</v>
      </c>
      <c r="B74" s="167" t="s">
        <v>287</v>
      </c>
      <c r="C74" s="168" t="s">
        <v>288</v>
      </c>
      <c r="D74" s="167" t="s">
        <v>178</v>
      </c>
      <c r="E74" s="180"/>
      <c r="F74" s="167">
        <v>4</v>
      </c>
      <c r="G74" s="117">
        <f t="shared" ref="G74:G85" si="8">TRUNC(F74*E74,2)</f>
        <v>0</v>
      </c>
      <c r="H74" s="117">
        <f t="shared" ref="H74:H85" si="9">TRUNC(G74/12,2)</f>
        <v>0</v>
      </c>
    </row>
    <row r="75" spans="1:8" ht="57.75">
      <c r="A75" s="171">
        <v>2</v>
      </c>
      <c r="B75" s="167" t="s">
        <v>289</v>
      </c>
      <c r="C75" s="168" t="s">
        <v>290</v>
      </c>
      <c r="D75" s="167" t="s">
        <v>178</v>
      </c>
      <c r="E75" s="180"/>
      <c r="F75" s="167">
        <v>2</v>
      </c>
      <c r="G75" s="117">
        <f t="shared" si="8"/>
        <v>0</v>
      </c>
      <c r="H75" s="117">
        <f t="shared" si="9"/>
        <v>0</v>
      </c>
    </row>
    <row r="76" spans="1:8" ht="57.75">
      <c r="A76" s="171">
        <v>3</v>
      </c>
      <c r="B76" s="167" t="s">
        <v>289</v>
      </c>
      <c r="C76" s="168" t="s">
        <v>420</v>
      </c>
      <c r="D76" s="167" t="s">
        <v>178</v>
      </c>
      <c r="E76" s="180"/>
      <c r="F76" s="167">
        <v>2</v>
      </c>
      <c r="G76" s="117">
        <f t="shared" si="8"/>
        <v>0</v>
      </c>
      <c r="H76" s="117">
        <f t="shared" si="9"/>
        <v>0</v>
      </c>
    </row>
    <row r="77" spans="1:8" ht="86.25">
      <c r="A77" s="171">
        <v>4</v>
      </c>
      <c r="B77" s="167" t="s">
        <v>397</v>
      </c>
      <c r="C77" s="168" t="s">
        <v>398</v>
      </c>
      <c r="D77" s="167" t="s">
        <v>178</v>
      </c>
      <c r="E77" s="180"/>
      <c r="F77" s="167">
        <v>1</v>
      </c>
      <c r="G77" s="117">
        <f t="shared" si="8"/>
        <v>0</v>
      </c>
      <c r="H77" s="117">
        <f t="shared" si="9"/>
        <v>0</v>
      </c>
    </row>
    <row r="78" spans="1:8" ht="43.5">
      <c r="A78" s="171">
        <v>5</v>
      </c>
      <c r="B78" s="167" t="s">
        <v>291</v>
      </c>
      <c r="C78" s="168" t="s">
        <v>292</v>
      </c>
      <c r="D78" s="167" t="s">
        <v>178</v>
      </c>
      <c r="E78" s="180"/>
      <c r="F78" s="167">
        <v>2</v>
      </c>
      <c r="G78" s="117">
        <f t="shared" si="8"/>
        <v>0</v>
      </c>
      <c r="H78" s="117">
        <f t="shared" si="9"/>
        <v>0</v>
      </c>
    </row>
    <row r="79" spans="1:8" ht="100.5">
      <c r="A79" s="171">
        <v>6</v>
      </c>
      <c r="B79" s="167" t="s">
        <v>395</v>
      </c>
      <c r="C79" s="168" t="s">
        <v>396</v>
      </c>
      <c r="D79" s="167" t="s">
        <v>293</v>
      </c>
      <c r="E79" s="180"/>
      <c r="F79" s="167">
        <v>2</v>
      </c>
      <c r="G79" s="117">
        <f t="shared" si="8"/>
        <v>0</v>
      </c>
      <c r="H79" s="117">
        <f t="shared" si="9"/>
        <v>0</v>
      </c>
    </row>
    <row r="80" spans="1:8" ht="72">
      <c r="A80" s="171">
        <v>7</v>
      </c>
      <c r="B80" s="167" t="s">
        <v>294</v>
      </c>
      <c r="C80" s="168" t="s">
        <v>295</v>
      </c>
      <c r="D80" s="167" t="s">
        <v>293</v>
      </c>
      <c r="E80" s="180"/>
      <c r="F80" s="167">
        <v>2</v>
      </c>
      <c r="G80" s="117">
        <f t="shared" si="8"/>
        <v>0</v>
      </c>
      <c r="H80" s="117">
        <f t="shared" si="9"/>
        <v>0</v>
      </c>
    </row>
    <row r="81" spans="1:8" ht="100.5">
      <c r="A81" s="171">
        <v>8</v>
      </c>
      <c r="B81" s="167" t="s">
        <v>294</v>
      </c>
      <c r="C81" s="168" t="s">
        <v>296</v>
      </c>
      <c r="D81" s="167" t="s">
        <v>293</v>
      </c>
      <c r="E81" s="180"/>
      <c r="F81" s="167">
        <v>1</v>
      </c>
      <c r="G81" s="117">
        <f t="shared" si="8"/>
        <v>0</v>
      </c>
      <c r="H81" s="117">
        <f t="shared" si="9"/>
        <v>0</v>
      </c>
    </row>
    <row r="82" spans="1:8" ht="43.5">
      <c r="A82" s="171">
        <v>9</v>
      </c>
      <c r="B82" s="167" t="s">
        <v>297</v>
      </c>
      <c r="C82" s="168" t="s">
        <v>399</v>
      </c>
      <c r="D82" s="167" t="s">
        <v>178</v>
      </c>
      <c r="E82" s="180"/>
      <c r="F82" s="167">
        <v>2</v>
      </c>
      <c r="G82" s="117">
        <f t="shared" si="8"/>
        <v>0</v>
      </c>
      <c r="H82" s="117">
        <f t="shared" si="9"/>
        <v>0</v>
      </c>
    </row>
    <row r="83" spans="1:8" ht="114.75">
      <c r="A83" s="171">
        <v>10</v>
      </c>
      <c r="B83" s="167" t="s">
        <v>299</v>
      </c>
      <c r="C83" s="168" t="s">
        <v>312</v>
      </c>
      <c r="D83" s="167" t="s">
        <v>178</v>
      </c>
      <c r="E83" s="180"/>
      <c r="F83" s="167">
        <v>2</v>
      </c>
      <c r="G83" s="117">
        <f t="shared" si="8"/>
        <v>0</v>
      </c>
      <c r="H83" s="117">
        <f t="shared" si="9"/>
        <v>0</v>
      </c>
    </row>
    <row r="84" spans="1:8" ht="29.25">
      <c r="A84" s="171">
        <v>11</v>
      </c>
      <c r="B84" s="167" t="s">
        <v>301</v>
      </c>
      <c r="C84" s="168" t="s">
        <v>401</v>
      </c>
      <c r="D84" s="167" t="s">
        <v>178</v>
      </c>
      <c r="E84" s="180"/>
      <c r="F84" s="167">
        <v>6</v>
      </c>
      <c r="G84" s="117">
        <f t="shared" si="8"/>
        <v>0</v>
      </c>
      <c r="H84" s="117">
        <f t="shared" si="9"/>
        <v>0</v>
      </c>
    </row>
    <row r="85" spans="1:8" ht="100.5">
      <c r="A85" s="171">
        <v>12</v>
      </c>
      <c r="B85" s="171" t="s">
        <v>302</v>
      </c>
      <c r="C85" s="168" t="s">
        <v>303</v>
      </c>
      <c r="D85" s="167" t="s">
        <v>178</v>
      </c>
      <c r="E85" s="180"/>
      <c r="F85" s="167">
        <v>12</v>
      </c>
      <c r="G85" s="117">
        <f t="shared" si="8"/>
        <v>0</v>
      </c>
      <c r="H85" s="117">
        <f t="shared" si="9"/>
        <v>0</v>
      </c>
    </row>
    <row r="86" spans="1:8">
      <c r="A86" s="220" t="s">
        <v>221</v>
      </c>
      <c r="B86" s="220"/>
      <c r="C86" s="220"/>
      <c r="D86" s="220"/>
      <c r="E86" s="220"/>
      <c r="F86" s="220"/>
      <c r="G86" s="221">
        <f>TRUNC(SUM(H74:H85),2)</f>
        <v>0</v>
      </c>
      <c r="H86" s="221"/>
    </row>
    <row r="87" spans="1:8">
      <c r="A87" s="118"/>
      <c r="B87" s="119"/>
      <c r="C87" s="118"/>
      <c r="D87" s="119"/>
      <c r="E87" s="118"/>
      <c r="F87" s="118"/>
      <c r="G87" s="118"/>
      <c r="H87" s="118"/>
    </row>
    <row r="88" spans="1:8">
      <c r="A88" s="118"/>
      <c r="B88" s="119"/>
      <c r="C88" s="118"/>
      <c r="D88" s="119"/>
      <c r="E88" s="118"/>
      <c r="F88" s="118"/>
      <c r="G88" s="118"/>
      <c r="H88" s="118"/>
    </row>
    <row r="89" spans="1:8">
      <c r="A89" s="215" t="s">
        <v>277</v>
      </c>
      <c r="B89" s="215"/>
      <c r="C89" s="215"/>
      <c r="D89" s="215"/>
      <c r="E89" s="215"/>
      <c r="F89" s="215"/>
      <c r="G89" s="215"/>
      <c r="H89" s="215"/>
    </row>
    <row r="90" spans="1:8">
      <c r="A90" s="216" t="s">
        <v>313</v>
      </c>
      <c r="B90" s="216"/>
      <c r="C90" s="216"/>
      <c r="D90" s="216"/>
      <c r="E90" s="216"/>
      <c r="F90" s="216"/>
      <c r="G90" s="216"/>
      <c r="H90" s="216"/>
    </row>
    <row r="91" spans="1:8" ht="75">
      <c r="A91" s="113" t="s">
        <v>279</v>
      </c>
      <c r="B91" s="113" t="s">
        <v>280</v>
      </c>
      <c r="C91" s="113" t="s">
        <v>281</v>
      </c>
      <c r="D91" s="113" t="s">
        <v>282</v>
      </c>
      <c r="E91" s="113" t="s">
        <v>283</v>
      </c>
      <c r="F91" s="113" t="s">
        <v>284</v>
      </c>
      <c r="G91" s="113" t="s">
        <v>285</v>
      </c>
      <c r="H91" s="113" t="s">
        <v>286</v>
      </c>
    </row>
    <row r="92" spans="1:8" ht="57">
      <c r="A92" s="116">
        <v>1</v>
      </c>
      <c r="B92" s="167" t="s">
        <v>287</v>
      </c>
      <c r="C92" s="172" t="s">
        <v>405</v>
      </c>
      <c r="D92" s="167" t="s">
        <v>178</v>
      </c>
      <c r="E92" s="180"/>
      <c r="F92" s="167">
        <v>4</v>
      </c>
      <c r="G92" s="117">
        <f t="shared" ref="G92:G102" si="10">TRUNC(F92*E92,2)</f>
        <v>0</v>
      </c>
      <c r="H92" s="117">
        <f t="shared" ref="H92:H102" si="11">TRUNC(G92/12,2)</f>
        <v>0</v>
      </c>
    </row>
    <row r="93" spans="1:8" ht="57">
      <c r="A93" s="116">
        <v>2</v>
      </c>
      <c r="B93" s="167" t="s">
        <v>289</v>
      </c>
      <c r="C93" s="172" t="s">
        <v>290</v>
      </c>
      <c r="D93" s="167" t="s">
        <v>178</v>
      </c>
      <c r="E93" s="180"/>
      <c r="F93" s="167">
        <v>2</v>
      </c>
      <c r="G93" s="117">
        <f t="shared" si="10"/>
        <v>0</v>
      </c>
      <c r="H93" s="117">
        <f t="shared" si="11"/>
        <v>0</v>
      </c>
    </row>
    <row r="94" spans="1:8" ht="57">
      <c r="A94" s="116">
        <v>3</v>
      </c>
      <c r="B94" s="167" t="s">
        <v>289</v>
      </c>
      <c r="C94" s="172" t="s">
        <v>420</v>
      </c>
      <c r="D94" s="167" t="s">
        <v>178</v>
      </c>
      <c r="E94" s="180"/>
      <c r="F94" s="167">
        <v>2</v>
      </c>
      <c r="G94" s="117">
        <f t="shared" si="10"/>
        <v>0</v>
      </c>
      <c r="H94" s="117">
        <f t="shared" si="11"/>
        <v>0</v>
      </c>
    </row>
    <row r="95" spans="1:8" ht="42.75">
      <c r="A95" s="116">
        <v>4</v>
      </c>
      <c r="B95" s="167" t="s">
        <v>291</v>
      </c>
      <c r="C95" s="172" t="s">
        <v>292</v>
      </c>
      <c r="D95" s="167" t="s">
        <v>178</v>
      </c>
      <c r="E95" s="180"/>
      <c r="F95" s="167">
        <v>2</v>
      </c>
      <c r="G95" s="117">
        <f t="shared" si="10"/>
        <v>0</v>
      </c>
      <c r="H95" s="117">
        <f t="shared" si="11"/>
        <v>0</v>
      </c>
    </row>
    <row r="96" spans="1:8" ht="99.75">
      <c r="A96" s="116">
        <v>5</v>
      </c>
      <c r="B96" s="167" t="s">
        <v>395</v>
      </c>
      <c r="C96" s="172" t="s">
        <v>396</v>
      </c>
      <c r="D96" s="167" t="s">
        <v>293</v>
      </c>
      <c r="E96" s="180"/>
      <c r="F96" s="167">
        <v>2</v>
      </c>
      <c r="G96" s="117">
        <f t="shared" si="10"/>
        <v>0</v>
      </c>
      <c r="H96" s="117">
        <f t="shared" si="11"/>
        <v>0</v>
      </c>
    </row>
    <row r="97" spans="1:8" ht="71.25">
      <c r="A97" s="116">
        <v>6</v>
      </c>
      <c r="B97" s="167" t="s">
        <v>294</v>
      </c>
      <c r="C97" s="172" t="s">
        <v>295</v>
      </c>
      <c r="D97" s="167" t="s">
        <v>293</v>
      </c>
      <c r="E97" s="180"/>
      <c r="F97" s="167">
        <v>2</v>
      </c>
      <c r="G97" s="117">
        <f t="shared" si="10"/>
        <v>0</v>
      </c>
      <c r="H97" s="117">
        <f t="shared" si="11"/>
        <v>0</v>
      </c>
    </row>
    <row r="98" spans="1:8" ht="99.75">
      <c r="A98" s="116">
        <v>7</v>
      </c>
      <c r="B98" s="167" t="s">
        <v>294</v>
      </c>
      <c r="C98" s="172" t="s">
        <v>296</v>
      </c>
      <c r="D98" s="167" t="s">
        <v>293</v>
      </c>
      <c r="E98" s="180"/>
      <c r="F98" s="167">
        <v>1</v>
      </c>
      <c r="G98" s="117">
        <f t="shared" si="10"/>
        <v>0</v>
      </c>
      <c r="H98" s="117">
        <f t="shared" si="11"/>
        <v>0</v>
      </c>
    </row>
    <row r="99" spans="1:8" ht="42.75">
      <c r="A99" s="116">
        <v>8</v>
      </c>
      <c r="B99" s="167" t="s">
        <v>297</v>
      </c>
      <c r="C99" s="172" t="s">
        <v>399</v>
      </c>
      <c r="D99" s="167" t="s">
        <v>178</v>
      </c>
      <c r="E99" s="180"/>
      <c r="F99" s="167">
        <v>1</v>
      </c>
      <c r="G99" s="117">
        <f t="shared" si="10"/>
        <v>0</v>
      </c>
      <c r="H99" s="117">
        <f t="shared" si="11"/>
        <v>0</v>
      </c>
    </row>
    <row r="100" spans="1:8" ht="99.75">
      <c r="A100" s="116">
        <v>9</v>
      </c>
      <c r="B100" s="167" t="s">
        <v>308</v>
      </c>
      <c r="C100" s="172" t="s">
        <v>406</v>
      </c>
      <c r="D100" s="167" t="s">
        <v>293</v>
      </c>
      <c r="E100" s="180"/>
      <c r="F100" s="167">
        <v>4</v>
      </c>
      <c r="G100" s="117">
        <f t="shared" si="10"/>
        <v>0</v>
      </c>
      <c r="H100" s="117">
        <f t="shared" si="11"/>
        <v>0</v>
      </c>
    </row>
    <row r="101" spans="1:8" ht="85.5">
      <c r="A101" s="116">
        <v>10</v>
      </c>
      <c r="B101" s="167" t="s">
        <v>397</v>
      </c>
      <c r="C101" s="172" t="s">
        <v>398</v>
      </c>
      <c r="D101" s="167" t="s">
        <v>178</v>
      </c>
      <c r="E101" s="180"/>
      <c r="F101" s="167">
        <v>1</v>
      </c>
      <c r="G101" s="117">
        <f t="shared" si="10"/>
        <v>0</v>
      </c>
      <c r="H101" s="117">
        <f t="shared" si="11"/>
        <v>0</v>
      </c>
    </row>
    <row r="102" spans="1:8" ht="28.5">
      <c r="A102" s="116">
        <v>11</v>
      </c>
      <c r="B102" s="167" t="s">
        <v>301</v>
      </c>
      <c r="C102" s="172" t="s">
        <v>401</v>
      </c>
      <c r="D102" s="167" t="s">
        <v>178</v>
      </c>
      <c r="E102" s="180"/>
      <c r="F102" s="167">
        <v>4</v>
      </c>
      <c r="G102" s="117">
        <f t="shared" si="10"/>
        <v>0</v>
      </c>
      <c r="H102" s="117">
        <f t="shared" si="11"/>
        <v>0</v>
      </c>
    </row>
    <row r="103" spans="1:8">
      <c r="A103" s="220" t="s">
        <v>221</v>
      </c>
      <c r="B103" s="220"/>
      <c r="C103" s="220"/>
      <c r="D103" s="220"/>
      <c r="E103" s="220"/>
      <c r="F103" s="220"/>
      <c r="G103" s="221">
        <f>TRUNC(SUM(H92:H102),2)</f>
        <v>0</v>
      </c>
      <c r="H103" s="221"/>
    </row>
    <row r="104" spans="1:8">
      <c r="A104" s="118"/>
      <c r="B104" s="119"/>
      <c r="C104" s="118"/>
      <c r="D104" s="119"/>
      <c r="E104" s="118"/>
      <c r="F104" s="118"/>
      <c r="G104" s="118"/>
      <c r="H104" s="118"/>
    </row>
    <row r="105" spans="1:8">
      <c r="A105" s="118"/>
      <c r="B105" s="119"/>
      <c r="C105" s="118"/>
      <c r="D105" s="119"/>
      <c r="E105" s="118"/>
      <c r="F105" s="118"/>
      <c r="G105" s="118"/>
      <c r="H105" s="118"/>
    </row>
    <row r="106" spans="1:8">
      <c r="A106" s="215" t="s">
        <v>277</v>
      </c>
      <c r="B106" s="215"/>
      <c r="C106" s="215"/>
      <c r="D106" s="215"/>
      <c r="E106" s="215"/>
      <c r="F106" s="215"/>
      <c r="G106" s="215"/>
      <c r="H106" s="215"/>
    </row>
    <row r="107" spans="1:8">
      <c r="A107" s="216" t="s">
        <v>314</v>
      </c>
      <c r="B107" s="216"/>
      <c r="C107" s="216"/>
      <c r="D107" s="216"/>
      <c r="E107" s="216"/>
      <c r="F107" s="216"/>
      <c r="G107" s="216"/>
      <c r="H107" s="216"/>
    </row>
    <row r="108" spans="1:8" ht="75">
      <c r="A108" s="113" t="s">
        <v>279</v>
      </c>
      <c r="B108" s="113" t="s">
        <v>280</v>
      </c>
      <c r="C108" s="113" t="s">
        <v>281</v>
      </c>
      <c r="D108" s="113" t="s">
        <v>282</v>
      </c>
      <c r="E108" s="113" t="s">
        <v>283</v>
      </c>
      <c r="F108" s="113" t="s">
        <v>284</v>
      </c>
      <c r="G108" s="113" t="s">
        <v>285</v>
      </c>
      <c r="H108" s="113" t="s">
        <v>286</v>
      </c>
    </row>
    <row r="109" spans="1:8" ht="57">
      <c r="A109" s="116">
        <v>1</v>
      </c>
      <c r="B109" s="167" t="s">
        <v>287</v>
      </c>
      <c r="C109" s="172" t="s">
        <v>407</v>
      </c>
      <c r="D109" s="167" t="s">
        <v>178</v>
      </c>
      <c r="E109" s="180"/>
      <c r="F109" s="167">
        <v>4</v>
      </c>
      <c r="G109" s="117">
        <f t="shared" ref="G109:G116" si="12">TRUNC(F109*E109,2)</f>
        <v>0</v>
      </c>
      <c r="H109" s="117">
        <f t="shared" ref="H109:H116" si="13">TRUNC(G109/12,2)</f>
        <v>0</v>
      </c>
    </row>
    <row r="110" spans="1:8" ht="71.25">
      <c r="A110" s="116">
        <v>2</v>
      </c>
      <c r="B110" s="167" t="s">
        <v>408</v>
      </c>
      <c r="C110" s="172" t="s">
        <v>409</v>
      </c>
      <c r="D110" s="167" t="s">
        <v>178</v>
      </c>
      <c r="E110" s="180"/>
      <c r="F110" s="167">
        <v>4</v>
      </c>
      <c r="G110" s="117">
        <f t="shared" si="12"/>
        <v>0</v>
      </c>
      <c r="H110" s="117">
        <f t="shared" si="13"/>
        <v>0</v>
      </c>
    </row>
    <row r="111" spans="1:8" ht="71.25">
      <c r="A111" s="116">
        <v>3</v>
      </c>
      <c r="B111" s="167" t="s">
        <v>294</v>
      </c>
      <c r="C111" s="172" t="s">
        <v>315</v>
      </c>
      <c r="D111" s="167" t="s">
        <v>293</v>
      </c>
      <c r="E111" s="180"/>
      <c r="F111" s="167">
        <v>2</v>
      </c>
      <c r="G111" s="117">
        <f t="shared" si="12"/>
        <v>0</v>
      </c>
      <c r="H111" s="117">
        <f t="shared" si="13"/>
        <v>0</v>
      </c>
    </row>
    <row r="112" spans="1:8" ht="42.75">
      <c r="A112" s="116">
        <v>4</v>
      </c>
      <c r="B112" s="167" t="s">
        <v>297</v>
      </c>
      <c r="C112" s="172" t="s">
        <v>399</v>
      </c>
      <c r="D112" s="167" t="s">
        <v>178</v>
      </c>
      <c r="E112" s="180"/>
      <c r="F112" s="167">
        <v>1</v>
      </c>
      <c r="G112" s="117">
        <f t="shared" si="12"/>
        <v>0</v>
      </c>
      <c r="H112" s="117">
        <f t="shared" si="13"/>
        <v>0</v>
      </c>
    </row>
    <row r="113" spans="1:8" ht="42.75">
      <c r="A113" s="116">
        <v>5</v>
      </c>
      <c r="B113" s="167" t="s">
        <v>308</v>
      </c>
      <c r="C113" s="172" t="s">
        <v>316</v>
      </c>
      <c r="D113" s="167" t="s">
        <v>293</v>
      </c>
      <c r="E113" s="180"/>
      <c r="F113" s="167">
        <v>2</v>
      </c>
      <c r="G113" s="117">
        <f t="shared" si="12"/>
        <v>0</v>
      </c>
      <c r="H113" s="117">
        <f t="shared" si="13"/>
        <v>0</v>
      </c>
    </row>
    <row r="114" spans="1:8" ht="85.5">
      <c r="A114" s="116">
        <v>6</v>
      </c>
      <c r="B114" s="167" t="s">
        <v>410</v>
      </c>
      <c r="C114" s="172" t="s">
        <v>411</v>
      </c>
      <c r="D114" s="167" t="s">
        <v>412</v>
      </c>
      <c r="E114" s="180"/>
      <c r="F114" s="167">
        <v>24</v>
      </c>
      <c r="G114" s="117">
        <f t="shared" si="12"/>
        <v>0</v>
      </c>
      <c r="H114" s="117">
        <f t="shared" si="13"/>
        <v>0</v>
      </c>
    </row>
    <row r="115" spans="1:8" ht="85.5">
      <c r="A115" s="116">
        <v>7</v>
      </c>
      <c r="B115" s="167" t="s">
        <v>397</v>
      </c>
      <c r="C115" s="172" t="s">
        <v>398</v>
      </c>
      <c r="D115" s="167" t="s">
        <v>293</v>
      </c>
      <c r="E115" s="180"/>
      <c r="F115" s="167">
        <v>1</v>
      </c>
      <c r="G115" s="117">
        <f t="shared" si="12"/>
        <v>0</v>
      </c>
      <c r="H115" s="117">
        <f t="shared" si="13"/>
        <v>0</v>
      </c>
    </row>
    <row r="116" spans="1:8" ht="85.5">
      <c r="A116" s="116">
        <v>8</v>
      </c>
      <c r="B116" s="167" t="s">
        <v>317</v>
      </c>
      <c r="C116" s="172" t="s">
        <v>413</v>
      </c>
      <c r="D116" s="167" t="s">
        <v>178</v>
      </c>
      <c r="E116" s="180"/>
      <c r="F116" s="167">
        <v>4</v>
      </c>
      <c r="G116" s="117">
        <f t="shared" si="12"/>
        <v>0</v>
      </c>
      <c r="H116" s="117">
        <f t="shared" si="13"/>
        <v>0</v>
      </c>
    </row>
    <row r="117" spans="1:8">
      <c r="A117" s="220" t="s">
        <v>221</v>
      </c>
      <c r="B117" s="220"/>
      <c r="C117" s="220"/>
      <c r="D117" s="220"/>
      <c r="E117" s="220"/>
      <c r="F117" s="220"/>
      <c r="G117" s="221">
        <f>TRUNC(SUM(H109:H116),2)</f>
        <v>0</v>
      </c>
      <c r="H117" s="221"/>
    </row>
    <row r="118" spans="1:8">
      <c r="A118" s="118"/>
      <c r="B118" s="119"/>
      <c r="C118" s="118"/>
      <c r="D118" s="119"/>
      <c r="E118" s="118"/>
      <c r="F118" s="118"/>
      <c r="G118" s="118"/>
      <c r="H118" s="118"/>
    </row>
    <row r="119" spans="1:8">
      <c r="A119" s="215" t="s">
        <v>277</v>
      </c>
      <c r="B119" s="215"/>
      <c r="C119" s="215"/>
      <c r="D119" s="215"/>
      <c r="E119" s="215"/>
      <c r="F119" s="215"/>
      <c r="G119" s="215"/>
      <c r="H119" s="215"/>
    </row>
    <row r="120" spans="1:8">
      <c r="A120" s="216" t="s">
        <v>318</v>
      </c>
      <c r="B120" s="216"/>
      <c r="C120" s="216"/>
      <c r="D120" s="216"/>
      <c r="E120" s="216"/>
      <c r="F120" s="216"/>
      <c r="G120" s="216"/>
      <c r="H120" s="216"/>
    </row>
    <row r="121" spans="1:8" ht="75">
      <c r="A121" s="113" t="s">
        <v>279</v>
      </c>
      <c r="B121" s="113" t="s">
        <v>280</v>
      </c>
      <c r="C121" s="113" t="s">
        <v>281</v>
      </c>
      <c r="D121" s="113" t="s">
        <v>282</v>
      </c>
      <c r="E121" s="113" t="s">
        <v>283</v>
      </c>
      <c r="F121" s="113" t="s">
        <v>284</v>
      </c>
      <c r="G121" s="113" t="s">
        <v>285</v>
      </c>
      <c r="H121" s="113" t="s">
        <v>286</v>
      </c>
    </row>
    <row r="122" spans="1:8" ht="57">
      <c r="A122" s="171">
        <v>1</v>
      </c>
      <c r="B122" s="167" t="s">
        <v>287</v>
      </c>
      <c r="C122" s="172" t="s">
        <v>407</v>
      </c>
      <c r="D122" s="167" t="s">
        <v>178</v>
      </c>
      <c r="E122" s="180"/>
      <c r="F122" s="167">
        <v>4</v>
      </c>
      <c r="G122" s="117">
        <f t="shared" ref="G122:G129" si="14">TRUNC(F122*E122,2)</f>
        <v>0</v>
      </c>
      <c r="H122" s="117">
        <f t="shared" ref="H122:H129" si="15">TRUNC(G122/12,2)</f>
        <v>0</v>
      </c>
    </row>
    <row r="123" spans="1:8" ht="71.25">
      <c r="A123" s="171">
        <v>2</v>
      </c>
      <c r="B123" s="167" t="s">
        <v>289</v>
      </c>
      <c r="C123" s="172" t="s">
        <v>409</v>
      </c>
      <c r="D123" s="167" t="s">
        <v>178</v>
      </c>
      <c r="E123" s="180"/>
      <c r="F123" s="167">
        <v>4</v>
      </c>
      <c r="G123" s="117">
        <f t="shared" si="14"/>
        <v>0</v>
      </c>
      <c r="H123" s="117">
        <f t="shared" si="15"/>
        <v>0</v>
      </c>
    </row>
    <row r="124" spans="1:8" ht="71.25">
      <c r="A124" s="171">
        <v>3</v>
      </c>
      <c r="B124" s="167" t="s">
        <v>294</v>
      </c>
      <c r="C124" s="172" t="s">
        <v>315</v>
      </c>
      <c r="D124" s="167" t="s">
        <v>293</v>
      </c>
      <c r="E124" s="180"/>
      <c r="F124" s="167">
        <v>2</v>
      </c>
      <c r="G124" s="117">
        <f t="shared" si="14"/>
        <v>0</v>
      </c>
      <c r="H124" s="117">
        <f t="shared" si="15"/>
        <v>0</v>
      </c>
    </row>
    <row r="125" spans="1:8" ht="42.75">
      <c r="A125" s="171">
        <v>4</v>
      </c>
      <c r="B125" s="167" t="s">
        <v>297</v>
      </c>
      <c r="C125" s="172" t="s">
        <v>402</v>
      </c>
      <c r="D125" s="167" t="s">
        <v>178</v>
      </c>
      <c r="E125" s="180"/>
      <c r="F125" s="167">
        <v>1</v>
      </c>
      <c r="G125" s="117">
        <f t="shared" si="14"/>
        <v>0</v>
      </c>
      <c r="H125" s="117">
        <f t="shared" si="15"/>
        <v>0</v>
      </c>
    </row>
    <row r="126" spans="1:8" ht="42.75">
      <c r="A126" s="171">
        <v>5</v>
      </c>
      <c r="B126" s="167" t="s">
        <v>308</v>
      </c>
      <c r="C126" s="172" t="s">
        <v>316</v>
      </c>
      <c r="D126" s="167" t="s">
        <v>293</v>
      </c>
      <c r="E126" s="180"/>
      <c r="F126" s="167">
        <v>2</v>
      </c>
      <c r="G126" s="117">
        <f t="shared" si="14"/>
        <v>0</v>
      </c>
      <c r="H126" s="117">
        <f t="shared" si="15"/>
        <v>0</v>
      </c>
    </row>
    <row r="127" spans="1:8" ht="85.5">
      <c r="A127" s="171">
        <v>6</v>
      </c>
      <c r="B127" s="167" t="s">
        <v>410</v>
      </c>
      <c r="C127" s="172" t="s">
        <v>411</v>
      </c>
      <c r="D127" s="167" t="s">
        <v>412</v>
      </c>
      <c r="E127" s="180"/>
      <c r="F127" s="167">
        <v>24</v>
      </c>
      <c r="G127" s="117">
        <f t="shared" si="14"/>
        <v>0</v>
      </c>
      <c r="H127" s="117">
        <f t="shared" si="15"/>
        <v>0</v>
      </c>
    </row>
    <row r="128" spans="1:8" ht="85.5">
      <c r="A128" s="171">
        <v>7</v>
      </c>
      <c r="B128" s="167" t="s">
        <v>397</v>
      </c>
      <c r="C128" s="172" t="s">
        <v>414</v>
      </c>
      <c r="D128" s="167" t="s">
        <v>178</v>
      </c>
      <c r="E128" s="180"/>
      <c r="F128" s="167">
        <v>1</v>
      </c>
      <c r="G128" s="117">
        <f t="shared" si="14"/>
        <v>0</v>
      </c>
      <c r="H128" s="117">
        <f t="shared" si="15"/>
        <v>0</v>
      </c>
    </row>
    <row r="129" spans="1:8" ht="85.5">
      <c r="A129" s="171">
        <v>8</v>
      </c>
      <c r="B129" s="167" t="s">
        <v>317</v>
      </c>
      <c r="C129" s="172" t="s">
        <v>413</v>
      </c>
      <c r="D129" s="167" t="s">
        <v>178</v>
      </c>
      <c r="E129" s="180"/>
      <c r="F129" s="167">
        <v>4</v>
      </c>
      <c r="G129" s="117">
        <f t="shared" si="14"/>
        <v>0</v>
      </c>
      <c r="H129" s="117">
        <f t="shared" si="15"/>
        <v>0</v>
      </c>
    </row>
    <row r="130" spans="1:8">
      <c r="A130" s="220" t="s">
        <v>221</v>
      </c>
      <c r="B130" s="220"/>
      <c r="C130" s="220"/>
      <c r="D130" s="220"/>
      <c r="E130" s="220"/>
      <c r="F130" s="220"/>
      <c r="G130" s="221">
        <f>TRUNC(SUM(H122:H129),2)</f>
        <v>0</v>
      </c>
      <c r="H130" s="221"/>
    </row>
    <row r="131" spans="1:8">
      <c r="A131" s="118"/>
      <c r="B131" s="119"/>
      <c r="C131" s="118"/>
      <c r="D131" s="119"/>
      <c r="E131" s="118"/>
      <c r="F131" s="118"/>
      <c r="G131" s="118"/>
      <c r="H131" s="118"/>
    </row>
    <row r="132" spans="1:8">
      <c r="A132" s="118"/>
      <c r="B132" s="119"/>
      <c r="C132" s="118"/>
      <c r="D132" s="119"/>
      <c r="E132" s="118"/>
      <c r="F132" s="118"/>
      <c r="G132" s="118"/>
      <c r="H132" s="118"/>
    </row>
    <row r="133" spans="1:8">
      <c r="A133" s="219" t="s">
        <v>277</v>
      </c>
      <c r="B133" s="219"/>
      <c r="C133" s="219"/>
      <c r="D133" s="219"/>
      <c r="E133" s="219"/>
      <c r="F133" s="219"/>
      <c r="G133" s="219"/>
      <c r="H133" s="219"/>
    </row>
    <row r="134" spans="1:8">
      <c r="A134" s="216" t="s">
        <v>319</v>
      </c>
      <c r="B134" s="216"/>
      <c r="C134" s="216"/>
      <c r="D134" s="216"/>
      <c r="E134" s="216"/>
      <c r="F134" s="216"/>
      <c r="G134" s="216"/>
      <c r="H134" s="216"/>
    </row>
    <row r="135" spans="1:8" ht="75">
      <c r="A135" s="113" t="s">
        <v>279</v>
      </c>
      <c r="B135" s="113" t="s">
        <v>280</v>
      </c>
      <c r="C135" s="113" t="s">
        <v>281</v>
      </c>
      <c r="D135" s="113" t="s">
        <v>282</v>
      </c>
      <c r="E135" s="113" t="s">
        <v>283</v>
      </c>
      <c r="F135" s="113" t="s">
        <v>284</v>
      </c>
      <c r="G135" s="113" t="s">
        <v>285</v>
      </c>
      <c r="H135" s="113" t="s">
        <v>286</v>
      </c>
    </row>
    <row r="136" spans="1:8" ht="57">
      <c r="A136" s="116">
        <v>1</v>
      </c>
      <c r="B136" s="167" t="s">
        <v>320</v>
      </c>
      <c r="C136" s="172" t="s">
        <v>453</v>
      </c>
      <c r="D136" s="167" t="s">
        <v>178</v>
      </c>
      <c r="E136" s="180"/>
      <c r="F136" s="167">
        <v>4</v>
      </c>
      <c r="G136" s="117">
        <f t="shared" ref="G136:G141" si="16">TRUNC(F136*E136,2)</f>
        <v>0</v>
      </c>
      <c r="H136" s="117">
        <f t="shared" ref="H136:H141" si="17">TRUNC(G136/12,2)</f>
        <v>0</v>
      </c>
    </row>
    <row r="137" spans="1:8" ht="71.25">
      <c r="A137" s="116">
        <v>2</v>
      </c>
      <c r="B137" s="167" t="s">
        <v>321</v>
      </c>
      <c r="C137" s="172" t="s">
        <v>415</v>
      </c>
      <c r="D137" s="167" t="s">
        <v>178</v>
      </c>
      <c r="E137" s="180"/>
      <c r="F137" s="167">
        <v>2</v>
      </c>
      <c r="G137" s="117">
        <f t="shared" si="16"/>
        <v>0</v>
      </c>
      <c r="H137" s="117">
        <f t="shared" si="17"/>
        <v>0</v>
      </c>
    </row>
    <row r="138" spans="1:8" ht="165.75" customHeight="1">
      <c r="A138" s="116">
        <v>3</v>
      </c>
      <c r="B138" s="167" t="s">
        <v>289</v>
      </c>
      <c r="C138" s="172" t="s">
        <v>322</v>
      </c>
      <c r="D138" s="167" t="s">
        <v>178</v>
      </c>
      <c r="E138" s="180"/>
      <c r="F138" s="167">
        <v>2</v>
      </c>
      <c r="G138" s="117">
        <f t="shared" si="16"/>
        <v>0</v>
      </c>
      <c r="H138" s="117">
        <f t="shared" si="17"/>
        <v>0</v>
      </c>
    </row>
    <row r="139" spans="1:8">
      <c r="A139" s="116">
        <v>4</v>
      </c>
      <c r="B139" s="167" t="s">
        <v>294</v>
      </c>
      <c r="C139" s="172" t="s">
        <v>452</v>
      </c>
      <c r="D139" s="167" t="s">
        <v>293</v>
      </c>
      <c r="E139" s="180"/>
      <c r="F139" s="167">
        <v>2</v>
      </c>
      <c r="G139" s="117">
        <f t="shared" si="16"/>
        <v>0</v>
      </c>
      <c r="H139" s="117">
        <f t="shared" si="17"/>
        <v>0</v>
      </c>
    </row>
    <row r="140" spans="1:8" ht="85.5">
      <c r="A140" s="116">
        <v>5</v>
      </c>
      <c r="B140" s="169" t="s">
        <v>397</v>
      </c>
      <c r="C140" s="173" t="s">
        <v>398</v>
      </c>
      <c r="D140" s="169" t="s">
        <v>178</v>
      </c>
      <c r="E140" s="180"/>
      <c r="F140" s="169">
        <v>1</v>
      </c>
      <c r="G140" s="117">
        <f t="shared" si="16"/>
        <v>0</v>
      </c>
      <c r="H140" s="117">
        <f t="shared" si="17"/>
        <v>0</v>
      </c>
    </row>
    <row r="141" spans="1:8" ht="42.75">
      <c r="A141" s="116">
        <v>6</v>
      </c>
      <c r="B141" s="167" t="s">
        <v>297</v>
      </c>
      <c r="C141" s="172" t="s">
        <v>402</v>
      </c>
      <c r="D141" s="167" t="s">
        <v>178</v>
      </c>
      <c r="E141" s="180"/>
      <c r="F141" s="167">
        <v>1</v>
      </c>
      <c r="G141" s="117">
        <f t="shared" si="16"/>
        <v>0</v>
      </c>
      <c r="H141" s="117">
        <f t="shared" si="17"/>
        <v>0</v>
      </c>
    </row>
    <row r="142" spans="1:8">
      <c r="A142" s="220" t="s">
        <v>221</v>
      </c>
      <c r="B142" s="220"/>
      <c r="C142" s="220"/>
      <c r="D142" s="220"/>
      <c r="E142" s="220"/>
      <c r="F142" s="220"/>
      <c r="G142" s="221">
        <f>TRUNC(SUM(H136:H141),2)</f>
        <v>0</v>
      </c>
      <c r="H142" s="221"/>
    </row>
    <row r="143" spans="1:8">
      <c r="A143" s="118"/>
      <c r="B143" s="119"/>
      <c r="C143" s="118"/>
      <c r="D143" s="119"/>
      <c r="E143" s="118"/>
      <c r="F143" s="118"/>
      <c r="G143" s="118"/>
      <c r="H143" s="118"/>
    </row>
    <row r="144" spans="1:8">
      <c r="A144" s="118"/>
      <c r="B144" s="119"/>
      <c r="C144" s="118"/>
      <c r="D144" s="119"/>
      <c r="E144" s="118"/>
      <c r="F144" s="118"/>
      <c r="G144" s="118"/>
      <c r="H144" s="118"/>
    </row>
    <row r="145" spans="1:8">
      <c r="A145" s="215" t="s">
        <v>277</v>
      </c>
      <c r="B145" s="215"/>
      <c r="C145" s="215"/>
      <c r="D145" s="215"/>
      <c r="E145" s="215"/>
      <c r="F145" s="215"/>
      <c r="G145" s="215"/>
      <c r="H145" s="215"/>
    </row>
    <row r="146" spans="1:8">
      <c r="A146" s="216" t="s">
        <v>323</v>
      </c>
      <c r="B146" s="216"/>
      <c r="C146" s="216"/>
      <c r="D146" s="216"/>
      <c r="E146" s="216"/>
      <c r="F146" s="216"/>
      <c r="G146" s="216"/>
      <c r="H146" s="216"/>
    </row>
    <row r="147" spans="1:8" ht="75">
      <c r="A147" s="113" t="s">
        <v>279</v>
      </c>
      <c r="B147" s="113" t="s">
        <v>280</v>
      </c>
      <c r="C147" s="113" t="s">
        <v>281</v>
      </c>
      <c r="D147" s="113" t="s">
        <v>282</v>
      </c>
      <c r="E147" s="113" t="s">
        <v>283</v>
      </c>
      <c r="F147" s="113" t="s">
        <v>284</v>
      </c>
      <c r="G147" s="113" t="s">
        <v>285</v>
      </c>
      <c r="H147" s="113" t="s">
        <v>286</v>
      </c>
    </row>
    <row r="148" spans="1:8" ht="57.75">
      <c r="A148" s="171">
        <v>1</v>
      </c>
      <c r="B148" s="167" t="s">
        <v>320</v>
      </c>
      <c r="C148" s="168" t="s">
        <v>453</v>
      </c>
      <c r="D148" s="167" t="s">
        <v>178</v>
      </c>
      <c r="E148" s="180"/>
      <c r="F148" s="167">
        <v>2</v>
      </c>
      <c r="G148" s="117">
        <f t="shared" ref="G148:G155" si="18">TRUNC(F148*E148,2)</f>
        <v>0</v>
      </c>
      <c r="H148" s="117">
        <f t="shared" ref="H148:H155" si="19">TRUNC(G148/12,2)</f>
        <v>0</v>
      </c>
    </row>
    <row r="149" spans="1:8" ht="43.5">
      <c r="A149" s="174">
        <v>2</v>
      </c>
      <c r="B149" s="169" t="s">
        <v>416</v>
      </c>
      <c r="C149" s="170" t="s">
        <v>417</v>
      </c>
      <c r="D149" s="169" t="s">
        <v>178</v>
      </c>
      <c r="E149" s="180"/>
      <c r="F149" s="169">
        <v>2</v>
      </c>
      <c r="G149" s="117">
        <f t="shared" si="18"/>
        <v>0</v>
      </c>
      <c r="H149" s="117">
        <f t="shared" si="19"/>
        <v>0</v>
      </c>
    </row>
    <row r="150" spans="1:8" ht="100.5">
      <c r="A150" s="175">
        <v>3</v>
      </c>
      <c r="B150" s="167" t="s">
        <v>321</v>
      </c>
      <c r="C150" s="168" t="s">
        <v>419</v>
      </c>
      <c r="D150" s="167" t="s">
        <v>178</v>
      </c>
      <c r="E150" s="180"/>
      <c r="F150" s="167">
        <v>2</v>
      </c>
      <c r="G150" s="117">
        <f t="shared" si="18"/>
        <v>0</v>
      </c>
      <c r="H150" s="117">
        <f t="shared" si="19"/>
        <v>0</v>
      </c>
    </row>
    <row r="151" spans="1:8" ht="86.25">
      <c r="A151" s="171">
        <v>4</v>
      </c>
      <c r="B151" s="167" t="s">
        <v>321</v>
      </c>
      <c r="C151" s="168" t="s">
        <v>418</v>
      </c>
      <c r="D151" s="167" t="s">
        <v>178</v>
      </c>
      <c r="E151" s="180"/>
      <c r="F151" s="167">
        <v>2</v>
      </c>
      <c r="G151" s="117">
        <f t="shared" si="18"/>
        <v>0</v>
      </c>
      <c r="H151" s="117">
        <f t="shared" si="19"/>
        <v>0</v>
      </c>
    </row>
    <row r="152" spans="1:8" ht="171.75">
      <c r="A152" s="171">
        <v>5</v>
      </c>
      <c r="B152" s="167" t="s">
        <v>289</v>
      </c>
      <c r="C152" s="168" t="s">
        <v>322</v>
      </c>
      <c r="D152" s="167" t="s">
        <v>178</v>
      </c>
      <c r="E152" s="180"/>
      <c r="F152" s="167">
        <v>2</v>
      </c>
      <c r="G152" s="117">
        <f t="shared" si="18"/>
        <v>0</v>
      </c>
      <c r="H152" s="117">
        <f t="shared" si="19"/>
        <v>0</v>
      </c>
    </row>
    <row r="153" spans="1:8" ht="86.25">
      <c r="A153" s="174">
        <v>6</v>
      </c>
      <c r="B153" s="169" t="s">
        <v>397</v>
      </c>
      <c r="C153" s="168" t="s">
        <v>398</v>
      </c>
      <c r="D153" s="167" t="s">
        <v>178</v>
      </c>
      <c r="E153" s="180"/>
      <c r="F153" s="169">
        <v>1</v>
      </c>
      <c r="G153" s="117">
        <f t="shared" si="18"/>
        <v>0</v>
      </c>
      <c r="H153" s="117">
        <f t="shared" si="19"/>
        <v>0</v>
      </c>
    </row>
    <row r="154" spans="1:8">
      <c r="A154" s="175">
        <v>7</v>
      </c>
      <c r="B154" s="167" t="s">
        <v>294</v>
      </c>
      <c r="C154" s="168" t="s">
        <v>452</v>
      </c>
      <c r="D154" s="167" t="s">
        <v>293</v>
      </c>
      <c r="E154" s="180"/>
      <c r="F154" s="167">
        <v>2</v>
      </c>
      <c r="G154" s="117">
        <f t="shared" si="18"/>
        <v>0</v>
      </c>
      <c r="H154" s="117">
        <f t="shared" si="19"/>
        <v>0</v>
      </c>
    </row>
    <row r="155" spans="1:8" ht="43.5">
      <c r="A155" s="171">
        <v>8</v>
      </c>
      <c r="B155" s="167" t="s">
        <v>297</v>
      </c>
      <c r="C155" s="168" t="s">
        <v>402</v>
      </c>
      <c r="D155" s="167" t="s">
        <v>178</v>
      </c>
      <c r="E155" s="180"/>
      <c r="F155" s="167">
        <v>1</v>
      </c>
      <c r="G155" s="117">
        <f t="shared" si="18"/>
        <v>0</v>
      </c>
      <c r="H155" s="117">
        <f t="shared" si="19"/>
        <v>0</v>
      </c>
    </row>
    <row r="156" spans="1:8">
      <c r="A156" s="220" t="s">
        <v>221</v>
      </c>
      <c r="B156" s="220"/>
      <c r="C156" s="220"/>
      <c r="D156" s="220"/>
      <c r="E156" s="220"/>
      <c r="F156" s="220"/>
      <c r="G156" s="221">
        <f>TRUNC(SUM(H148:H155),2)</f>
        <v>0</v>
      </c>
      <c r="H156" s="221"/>
    </row>
    <row r="157" spans="1:8">
      <c r="G157" s="222"/>
      <c r="H157" s="222"/>
    </row>
  </sheetData>
  <mergeCells count="41">
    <mergeCell ref="A146:H146"/>
    <mergeCell ref="A156:F156"/>
    <mergeCell ref="G156:H156"/>
    <mergeCell ref="G157:H157"/>
    <mergeCell ref="A133:H133"/>
    <mergeCell ref="A134:H134"/>
    <mergeCell ref="A142:F142"/>
    <mergeCell ref="G142:H142"/>
    <mergeCell ref="A145:H145"/>
    <mergeCell ref="A117:F117"/>
    <mergeCell ref="G117:H117"/>
    <mergeCell ref="A119:H119"/>
    <mergeCell ref="A120:H120"/>
    <mergeCell ref="A130:F130"/>
    <mergeCell ref="G130:H130"/>
    <mergeCell ref="A90:H90"/>
    <mergeCell ref="A103:F103"/>
    <mergeCell ref="G103:H103"/>
    <mergeCell ref="A106:H106"/>
    <mergeCell ref="A107:H107"/>
    <mergeCell ref="A71:H71"/>
    <mergeCell ref="A72:H72"/>
    <mergeCell ref="A86:F86"/>
    <mergeCell ref="G86:H86"/>
    <mergeCell ref="A89:H89"/>
    <mergeCell ref="A52:F52"/>
    <mergeCell ref="G52:H52"/>
    <mergeCell ref="A54:H54"/>
    <mergeCell ref="A55:H55"/>
    <mergeCell ref="A68:F68"/>
    <mergeCell ref="G68:H68"/>
    <mergeCell ref="A21:H21"/>
    <mergeCell ref="A36:F36"/>
    <mergeCell ref="G36:H36"/>
    <mergeCell ref="A39:H39"/>
    <mergeCell ref="A40:H40"/>
    <mergeCell ref="A1:H1"/>
    <mergeCell ref="A2:H2"/>
    <mergeCell ref="A17:F17"/>
    <mergeCell ref="G17:H17"/>
    <mergeCell ref="A20:H20"/>
  </mergeCells>
  <pageMargins left="0.25" right="0.25" top="0.75" bottom="0.75" header="0.511811023622047" footer="0.511811023622047"/>
  <pageSetup paperSize="9" scale="75" fitToHeight="0" orientation="portrait" r:id="rId1"/>
  <tableParts count="3">
    <tablePart r:id="rId2"/>
    <tablePart r:id="rId3"/>
    <tablePart r:id="rId4"/>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F35"/>
  <sheetViews>
    <sheetView view="pageBreakPreview" zoomScaleNormal="100" workbookViewId="0">
      <selection activeCell="E28" sqref="E28:E31"/>
    </sheetView>
  </sheetViews>
  <sheetFormatPr defaultColWidth="8.7109375" defaultRowHeight="15"/>
  <cols>
    <col min="2" max="2" width="12.140625" customWidth="1"/>
    <col min="3" max="3" width="43.85546875" customWidth="1"/>
    <col min="4" max="4" width="12.140625" customWidth="1"/>
    <col min="5" max="5" width="10.140625" customWidth="1"/>
    <col min="6" max="6" width="14.42578125" customWidth="1"/>
  </cols>
  <sheetData>
    <row r="1" spans="1:6" ht="21">
      <c r="A1" s="223" t="s">
        <v>324</v>
      </c>
      <c r="B1" s="223"/>
      <c r="C1" s="223"/>
      <c r="D1" s="223"/>
      <c r="E1" s="223"/>
      <c r="F1" s="223"/>
    </row>
    <row r="2" spans="1:6" ht="15.75">
      <c r="A2" s="120"/>
      <c r="B2" s="120"/>
      <c r="C2" s="120"/>
      <c r="D2" s="120"/>
      <c r="E2" s="120"/>
      <c r="F2" s="120"/>
    </row>
    <row r="3" spans="1:6" ht="15" customHeight="1">
      <c r="A3" s="224" t="s">
        <v>325</v>
      </c>
      <c r="B3" s="224"/>
      <c r="C3" s="224"/>
      <c r="D3" s="224"/>
      <c r="E3" s="224"/>
      <c r="F3" s="224"/>
    </row>
    <row r="4" spans="1:6" ht="25.5">
      <c r="A4" s="121" t="s">
        <v>16</v>
      </c>
      <c r="B4" s="121" t="s">
        <v>326</v>
      </c>
      <c r="C4" s="121" t="s">
        <v>17</v>
      </c>
      <c r="D4" s="121" t="s">
        <v>327</v>
      </c>
      <c r="E4" s="121" t="s">
        <v>328</v>
      </c>
      <c r="F4" s="122" t="s">
        <v>329</v>
      </c>
    </row>
    <row r="5" spans="1:6" ht="51">
      <c r="A5" s="176">
        <v>1</v>
      </c>
      <c r="B5" s="176" t="s">
        <v>330</v>
      </c>
      <c r="C5" s="176" t="s">
        <v>421</v>
      </c>
      <c r="D5" s="176">
        <v>1</v>
      </c>
      <c r="E5" s="125"/>
      <c r="F5" s="126">
        <f t="shared" ref="F5:F12" si="0">E5*D5</f>
        <v>0</v>
      </c>
    </row>
    <row r="6" spans="1:6" ht="51">
      <c r="A6" s="176">
        <v>2</v>
      </c>
      <c r="B6" s="176" t="s">
        <v>330</v>
      </c>
      <c r="C6" s="176" t="s">
        <v>422</v>
      </c>
      <c r="D6" s="176">
        <v>4</v>
      </c>
      <c r="E6" s="125"/>
      <c r="F6" s="126">
        <f t="shared" si="0"/>
        <v>0</v>
      </c>
    </row>
    <row r="7" spans="1:6" ht="89.25">
      <c r="A7" s="176">
        <v>3</v>
      </c>
      <c r="B7" s="176" t="s">
        <v>331</v>
      </c>
      <c r="C7" s="176" t="s">
        <v>423</v>
      </c>
      <c r="D7" s="176">
        <v>20</v>
      </c>
      <c r="E7" s="125"/>
      <c r="F7" s="126">
        <f t="shared" si="0"/>
        <v>0</v>
      </c>
    </row>
    <row r="8" spans="1:6" ht="51">
      <c r="A8" s="176">
        <v>4</v>
      </c>
      <c r="B8" s="176" t="s">
        <v>332</v>
      </c>
      <c r="C8" s="176" t="s">
        <v>333</v>
      </c>
      <c r="D8" s="176">
        <v>12</v>
      </c>
      <c r="E8" s="125"/>
      <c r="F8" s="126">
        <f t="shared" si="0"/>
        <v>0</v>
      </c>
    </row>
    <row r="9" spans="1:6" ht="63.75">
      <c r="A9" s="176">
        <v>5</v>
      </c>
      <c r="B9" s="176" t="s">
        <v>332</v>
      </c>
      <c r="C9" s="176" t="s">
        <v>334</v>
      </c>
      <c r="D9" s="176">
        <v>12</v>
      </c>
      <c r="E9" s="125"/>
      <c r="F9" s="126">
        <f t="shared" si="0"/>
        <v>0</v>
      </c>
    </row>
    <row r="10" spans="1:6" ht="38.25">
      <c r="A10" s="176">
        <v>6</v>
      </c>
      <c r="B10" s="176" t="s">
        <v>424</v>
      </c>
      <c r="C10" s="176" t="s">
        <v>335</v>
      </c>
      <c r="D10" s="176">
        <v>130</v>
      </c>
      <c r="E10" s="125"/>
      <c r="F10" s="126">
        <f t="shared" si="0"/>
        <v>0</v>
      </c>
    </row>
    <row r="11" spans="1:6" ht="51">
      <c r="A11" s="176">
        <v>7</v>
      </c>
      <c r="B11" s="176" t="s">
        <v>425</v>
      </c>
      <c r="C11" s="176" t="s">
        <v>426</v>
      </c>
      <c r="D11" s="176">
        <v>1</v>
      </c>
      <c r="E11" s="125"/>
      <c r="F11" s="126">
        <f t="shared" si="0"/>
        <v>0</v>
      </c>
    </row>
    <row r="12" spans="1:6" ht="63.75">
      <c r="A12" s="176">
        <v>8</v>
      </c>
      <c r="B12" s="176" t="s">
        <v>336</v>
      </c>
      <c r="C12" s="176" t="s">
        <v>337</v>
      </c>
      <c r="D12" s="176">
        <v>2</v>
      </c>
      <c r="E12" s="125"/>
      <c r="F12" s="126">
        <f t="shared" si="0"/>
        <v>0</v>
      </c>
    </row>
    <row r="13" spans="1:6" ht="15" customHeight="1">
      <c r="A13" s="225" t="s">
        <v>338</v>
      </c>
      <c r="B13" s="225"/>
      <c r="C13" s="225"/>
      <c r="D13" s="225"/>
      <c r="E13" s="225"/>
      <c r="F13" s="127">
        <f>SUM(F5:F12)</f>
        <v>0</v>
      </c>
    </row>
    <row r="14" spans="1:6" ht="15" customHeight="1">
      <c r="A14" s="226" t="s">
        <v>339</v>
      </c>
      <c r="B14" s="226"/>
      <c r="C14" s="226"/>
      <c r="D14" s="226"/>
      <c r="E14" s="226"/>
      <c r="F14" s="128">
        <f>F13</f>
        <v>0</v>
      </c>
    </row>
    <row r="15" spans="1:6">
      <c r="A15" s="129"/>
      <c r="B15" s="129"/>
      <c r="C15" s="129"/>
      <c r="D15" s="129"/>
      <c r="E15" s="129"/>
      <c r="F15" s="129"/>
    </row>
    <row r="16" spans="1:6" ht="15" customHeight="1">
      <c r="A16" s="224" t="s">
        <v>340</v>
      </c>
      <c r="B16" s="224"/>
      <c r="C16" s="224"/>
      <c r="D16" s="224"/>
      <c r="E16" s="224"/>
      <c r="F16" s="224"/>
    </row>
    <row r="17" spans="1:6" ht="25.5">
      <c r="A17" s="121" t="s">
        <v>16</v>
      </c>
      <c r="B17" s="121" t="s">
        <v>326</v>
      </c>
      <c r="C17" s="121" t="s">
        <v>17</v>
      </c>
      <c r="D17" s="121" t="s">
        <v>327</v>
      </c>
      <c r="E17" s="121" t="s">
        <v>328</v>
      </c>
      <c r="F17" s="122" t="s">
        <v>329</v>
      </c>
    </row>
    <row r="18" spans="1:6" ht="51">
      <c r="A18" s="176">
        <v>1</v>
      </c>
      <c r="B18" s="176" t="s">
        <v>427</v>
      </c>
      <c r="C18" s="176" t="s">
        <v>428</v>
      </c>
      <c r="D18" s="176">
        <v>8</v>
      </c>
      <c r="E18" s="125"/>
      <c r="F18" s="126">
        <f>E18*D18</f>
        <v>0</v>
      </c>
    </row>
    <row r="19" spans="1:6" ht="51">
      <c r="A19" s="176">
        <v>2</v>
      </c>
      <c r="B19" s="176" t="s">
        <v>429</v>
      </c>
      <c r="C19" s="176" t="s">
        <v>430</v>
      </c>
      <c r="D19" s="176">
        <v>8</v>
      </c>
      <c r="E19" s="125"/>
      <c r="F19" s="126">
        <f>E19*D19</f>
        <v>0</v>
      </c>
    </row>
    <row r="20" spans="1:6" ht="51">
      <c r="A20" s="176">
        <v>3</v>
      </c>
      <c r="B20" s="176" t="s">
        <v>341</v>
      </c>
      <c r="C20" s="176" t="s">
        <v>342</v>
      </c>
      <c r="D20" s="176">
        <v>3</v>
      </c>
      <c r="E20" s="125"/>
      <c r="F20" s="126">
        <f>E20*D20</f>
        <v>0</v>
      </c>
    </row>
    <row r="21" spans="1:6" ht="38.25">
      <c r="A21" s="176">
        <v>4</v>
      </c>
      <c r="B21" s="176" t="s">
        <v>343</v>
      </c>
      <c r="C21" s="176" t="s">
        <v>431</v>
      </c>
      <c r="D21" s="176">
        <v>2</v>
      </c>
      <c r="E21" s="125"/>
      <c r="F21" s="126">
        <f>E21*D21</f>
        <v>0</v>
      </c>
    </row>
    <row r="22" spans="1:6" ht="38.25">
      <c r="A22" s="176">
        <v>5</v>
      </c>
      <c r="B22" s="176" t="s">
        <v>343</v>
      </c>
      <c r="C22" s="176" t="s">
        <v>344</v>
      </c>
      <c r="D22" s="176">
        <v>2</v>
      </c>
      <c r="E22" s="125"/>
      <c r="F22" s="126">
        <f>E22*D22</f>
        <v>0</v>
      </c>
    </row>
    <row r="23" spans="1:6" ht="15" customHeight="1">
      <c r="A23" s="225" t="s">
        <v>345</v>
      </c>
      <c r="B23" s="225"/>
      <c r="C23" s="225"/>
      <c r="D23" s="225"/>
      <c r="E23" s="225"/>
      <c r="F23" s="127">
        <f>SUM(F18:F22)</f>
        <v>0</v>
      </c>
    </row>
    <row r="24" spans="1:6" ht="15" customHeight="1">
      <c r="A24" s="226" t="s">
        <v>346</v>
      </c>
      <c r="B24" s="226"/>
      <c r="C24" s="226"/>
      <c r="D24" s="226"/>
      <c r="E24" s="226"/>
      <c r="F24" s="128">
        <f>F23/6</f>
        <v>0</v>
      </c>
    </row>
    <row r="25" spans="1:6">
      <c r="A25" s="129"/>
      <c r="B25" s="129"/>
      <c r="C25" s="129"/>
      <c r="D25" s="129"/>
      <c r="E25" s="129"/>
      <c r="F25" s="129"/>
    </row>
    <row r="26" spans="1:6" ht="15" customHeight="1">
      <c r="A26" s="224" t="s">
        <v>347</v>
      </c>
      <c r="B26" s="224"/>
      <c r="C26" s="224"/>
      <c r="D26" s="224"/>
      <c r="E26" s="224"/>
      <c r="F26" s="224"/>
    </row>
    <row r="27" spans="1:6" ht="25.5">
      <c r="A27" s="121" t="s">
        <v>16</v>
      </c>
      <c r="B27" s="121" t="s">
        <v>326</v>
      </c>
      <c r="C27" s="121" t="s">
        <v>17</v>
      </c>
      <c r="D27" s="121" t="s">
        <v>327</v>
      </c>
      <c r="E27" s="121" t="s">
        <v>328</v>
      </c>
      <c r="F27" s="122" t="s">
        <v>329</v>
      </c>
    </row>
    <row r="28" spans="1:6" ht="38.25">
      <c r="A28" s="123">
        <v>1</v>
      </c>
      <c r="B28" s="124" t="s">
        <v>348</v>
      </c>
      <c r="C28" s="124" t="s">
        <v>349</v>
      </c>
      <c r="D28" s="123">
        <v>1</v>
      </c>
      <c r="E28" s="125"/>
      <c r="F28" s="126">
        <f>E28*D28</f>
        <v>0</v>
      </c>
    </row>
    <row r="29" spans="1:6" ht="51">
      <c r="A29" s="123">
        <v>2</v>
      </c>
      <c r="B29" s="124" t="s">
        <v>350</v>
      </c>
      <c r="C29" s="124" t="s">
        <v>351</v>
      </c>
      <c r="D29" s="123">
        <v>1</v>
      </c>
      <c r="E29" s="125"/>
      <c r="F29" s="126">
        <f>E29*D29</f>
        <v>0</v>
      </c>
    </row>
    <row r="30" spans="1:6" ht="76.5">
      <c r="A30" s="123">
        <v>3</v>
      </c>
      <c r="B30" s="124" t="s">
        <v>352</v>
      </c>
      <c r="C30" s="124" t="s">
        <v>353</v>
      </c>
      <c r="D30" s="123">
        <v>1</v>
      </c>
      <c r="E30" s="125"/>
      <c r="F30" s="126">
        <f>E30*D30</f>
        <v>0</v>
      </c>
    </row>
    <row r="31" spans="1:6" ht="51">
      <c r="A31" s="123">
        <v>4</v>
      </c>
      <c r="B31" s="124" t="s">
        <v>354</v>
      </c>
      <c r="C31" s="124" t="s">
        <v>355</v>
      </c>
      <c r="D31" s="123">
        <v>2</v>
      </c>
      <c r="E31" s="125"/>
      <c r="F31" s="126">
        <f>E31*D31</f>
        <v>0</v>
      </c>
    </row>
    <row r="32" spans="1:6" ht="15" customHeight="1">
      <c r="A32" s="225" t="s">
        <v>356</v>
      </c>
      <c r="B32" s="225"/>
      <c r="C32" s="225"/>
      <c r="D32" s="225"/>
      <c r="E32" s="225"/>
      <c r="F32" s="127">
        <f>SUM(F28:F31)</f>
        <v>0</v>
      </c>
    </row>
    <row r="33" spans="1:6" ht="15" customHeight="1">
      <c r="A33" s="226" t="s">
        <v>357</v>
      </c>
      <c r="B33" s="226"/>
      <c r="C33" s="226"/>
      <c r="D33" s="226"/>
      <c r="E33" s="226"/>
      <c r="F33" s="128">
        <f>F32/12</f>
        <v>0</v>
      </c>
    </row>
    <row r="35" spans="1:6">
      <c r="A35" s="227" t="s">
        <v>454</v>
      </c>
      <c r="B35" s="227"/>
      <c r="C35" s="227"/>
      <c r="D35" s="227"/>
      <c r="E35" s="227"/>
      <c r="F35" s="181">
        <f>F14+F24+F33</f>
        <v>0</v>
      </c>
    </row>
  </sheetData>
  <mergeCells count="11">
    <mergeCell ref="A35:E35"/>
    <mergeCell ref="A23:E23"/>
    <mergeCell ref="A24:E24"/>
    <mergeCell ref="A26:F26"/>
    <mergeCell ref="A32:E32"/>
    <mergeCell ref="A33:E33"/>
    <mergeCell ref="A1:F1"/>
    <mergeCell ref="A3:F3"/>
    <mergeCell ref="A13:E13"/>
    <mergeCell ref="A14:E14"/>
    <mergeCell ref="A16:F16"/>
  </mergeCells>
  <pageMargins left="0.25" right="0.25" top="0.75" bottom="0.75" header="0.511811023622047" footer="0.511811023622047"/>
  <pageSetup paperSize="9" scale="98" fitToHeight="0"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F37"/>
  <sheetViews>
    <sheetView view="pageBreakPreview" topLeftCell="A25" zoomScaleNormal="100" workbookViewId="0">
      <selection activeCell="E19" sqref="E19:E21"/>
    </sheetView>
  </sheetViews>
  <sheetFormatPr defaultColWidth="8.7109375" defaultRowHeight="15"/>
  <cols>
    <col min="2" max="2" width="13.28515625" customWidth="1"/>
    <col min="3" max="3" width="37" customWidth="1"/>
    <col min="5" max="5" width="11" customWidth="1"/>
    <col min="6" max="6" width="12" customWidth="1"/>
  </cols>
  <sheetData>
    <row r="1" spans="1:6" ht="21">
      <c r="A1" s="228" t="s">
        <v>358</v>
      </c>
      <c r="B1" s="228"/>
      <c r="C1" s="228"/>
      <c r="D1" s="228"/>
      <c r="E1" s="228"/>
      <c r="F1" s="228"/>
    </row>
    <row r="3" spans="1:6" ht="17.45" customHeight="1">
      <c r="A3" s="229" t="s">
        <v>340</v>
      </c>
      <c r="B3" s="229"/>
      <c r="C3" s="229"/>
      <c r="D3" s="229"/>
      <c r="E3" s="229"/>
      <c r="F3" s="229"/>
    </row>
    <row r="4" spans="1:6" ht="25.5">
      <c r="A4" s="121" t="s">
        <v>16</v>
      </c>
      <c r="B4" s="121" t="s">
        <v>326</v>
      </c>
      <c r="C4" s="121" t="s">
        <v>17</v>
      </c>
      <c r="D4" s="121" t="s">
        <v>442</v>
      </c>
      <c r="E4" s="121" t="s">
        <v>328</v>
      </c>
      <c r="F4" s="122" t="s">
        <v>329</v>
      </c>
    </row>
    <row r="5" spans="1:6" ht="36">
      <c r="A5" s="177">
        <v>1</v>
      </c>
      <c r="B5" s="177" t="s">
        <v>432</v>
      </c>
      <c r="C5" s="177" t="s">
        <v>433</v>
      </c>
      <c r="D5" s="177">
        <v>12</v>
      </c>
      <c r="E5" s="130"/>
      <c r="F5" s="131">
        <f t="shared" ref="F5:F11" si="0">E5*D5</f>
        <v>0</v>
      </c>
    </row>
    <row r="6" spans="1:6" ht="120">
      <c r="A6" s="177">
        <v>2</v>
      </c>
      <c r="B6" s="177" t="s">
        <v>434</v>
      </c>
      <c r="C6" s="177" t="s">
        <v>435</v>
      </c>
      <c r="D6" s="177">
        <v>2</v>
      </c>
      <c r="E6" s="130"/>
      <c r="F6" s="131">
        <f t="shared" si="0"/>
        <v>0</v>
      </c>
    </row>
    <row r="7" spans="1:6" ht="96">
      <c r="A7" s="177">
        <v>3</v>
      </c>
      <c r="B7" s="177" t="s">
        <v>436</v>
      </c>
      <c r="C7" s="177" t="s">
        <v>437</v>
      </c>
      <c r="D7" s="177">
        <v>2</v>
      </c>
      <c r="E7" s="130"/>
      <c r="F7" s="131">
        <f t="shared" si="0"/>
        <v>0</v>
      </c>
    </row>
    <row r="8" spans="1:6" ht="72">
      <c r="A8" s="177">
        <v>4</v>
      </c>
      <c r="B8" s="177" t="s">
        <v>438</v>
      </c>
      <c r="C8" s="177" t="s">
        <v>439</v>
      </c>
      <c r="D8" s="177">
        <v>2</v>
      </c>
      <c r="E8" s="130"/>
      <c r="F8" s="131">
        <f t="shared" si="0"/>
        <v>0</v>
      </c>
    </row>
    <row r="9" spans="1:6" ht="24">
      <c r="A9" s="177">
        <v>5</v>
      </c>
      <c r="B9" s="177" t="s">
        <v>440</v>
      </c>
      <c r="C9" s="177" t="s">
        <v>441</v>
      </c>
      <c r="D9" s="177">
        <v>1</v>
      </c>
      <c r="E9" s="130"/>
      <c r="F9" s="131">
        <f t="shared" si="0"/>
        <v>0</v>
      </c>
    </row>
    <row r="10" spans="1:6" ht="48">
      <c r="A10" s="177">
        <v>6</v>
      </c>
      <c r="B10" s="177" t="s">
        <v>359</v>
      </c>
      <c r="C10" s="177" t="s">
        <v>360</v>
      </c>
      <c r="D10" s="177">
        <v>1</v>
      </c>
      <c r="E10" s="130"/>
      <c r="F10" s="131">
        <f t="shared" si="0"/>
        <v>0</v>
      </c>
    </row>
    <row r="11" spans="1:6" ht="96">
      <c r="A11" s="177">
        <v>7</v>
      </c>
      <c r="B11" s="177" t="s">
        <v>361</v>
      </c>
      <c r="C11" s="177" t="s">
        <v>362</v>
      </c>
      <c r="D11" s="177">
        <v>2</v>
      </c>
      <c r="E11" s="130"/>
      <c r="F11" s="131">
        <f t="shared" si="0"/>
        <v>0</v>
      </c>
    </row>
    <row r="12" spans="1:6" ht="15" customHeight="1">
      <c r="A12" s="226" t="s">
        <v>345</v>
      </c>
      <c r="B12" s="226"/>
      <c r="C12" s="226"/>
      <c r="D12" s="226"/>
      <c r="E12" s="226"/>
      <c r="F12" s="132">
        <f>SUM(F5:F11)</f>
        <v>0</v>
      </c>
    </row>
    <row r="13" spans="1:6" ht="15" customHeight="1">
      <c r="A13" s="230" t="s">
        <v>338</v>
      </c>
      <c r="B13" s="230"/>
      <c r="C13" s="230"/>
      <c r="D13" s="230"/>
      <c r="E13" s="230"/>
      <c r="F13" s="133">
        <f>F12/6</f>
        <v>0</v>
      </c>
    </row>
    <row r="14" spans="1:6">
      <c r="A14" s="12"/>
      <c r="B14" s="12"/>
      <c r="C14" s="12"/>
      <c r="D14" s="12"/>
      <c r="E14" s="12"/>
      <c r="F14" s="12"/>
    </row>
    <row r="15" spans="1:6" ht="18.75">
      <c r="A15" s="231" t="s">
        <v>363</v>
      </c>
      <c r="B15" s="231"/>
      <c r="C15" s="231"/>
      <c r="D15" s="231"/>
      <c r="E15" s="231"/>
      <c r="F15" s="231"/>
    </row>
    <row r="16" spans="1:6">
      <c r="A16" s="12"/>
      <c r="B16" s="12"/>
      <c r="C16" s="12"/>
      <c r="D16" s="12"/>
      <c r="E16" s="12"/>
      <c r="F16" s="12"/>
    </row>
    <row r="17" spans="1:6" ht="17.45" customHeight="1">
      <c r="A17" s="229" t="s">
        <v>347</v>
      </c>
      <c r="B17" s="229"/>
      <c r="C17" s="229"/>
      <c r="D17" s="229"/>
      <c r="E17" s="229"/>
      <c r="F17" s="229"/>
    </row>
    <row r="18" spans="1:6" ht="38.25">
      <c r="A18" s="121" t="s">
        <v>16</v>
      </c>
      <c r="B18" s="121" t="s">
        <v>326</v>
      </c>
      <c r="C18" s="121" t="s">
        <v>17</v>
      </c>
      <c r="D18" s="121" t="s">
        <v>327</v>
      </c>
      <c r="E18" s="121" t="s">
        <v>328</v>
      </c>
      <c r="F18" s="122" t="s">
        <v>329</v>
      </c>
    </row>
    <row r="19" spans="1:6" ht="24">
      <c r="A19" s="177">
        <v>1</v>
      </c>
      <c r="B19" s="177" t="s">
        <v>364</v>
      </c>
      <c r="C19" s="177" t="s">
        <v>365</v>
      </c>
      <c r="D19" s="177">
        <v>1</v>
      </c>
      <c r="E19" s="130"/>
      <c r="F19" s="131">
        <f>E19*D19</f>
        <v>0</v>
      </c>
    </row>
    <row r="20" spans="1:6" ht="96">
      <c r="A20" s="177">
        <v>2</v>
      </c>
      <c r="B20" s="177" t="s">
        <v>443</v>
      </c>
      <c r="C20" s="177" t="s">
        <v>444</v>
      </c>
      <c r="D20" s="177">
        <v>1</v>
      </c>
      <c r="E20" s="130"/>
      <c r="F20" s="131">
        <f>E20*D20</f>
        <v>0</v>
      </c>
    </row>
    <row r="21" spans="1:6" ht="204">
      <c r="A21" s="177">
        <v>3</v>
      </c>
      <c r="B21" s="177" t="s">
        <v>366</v>
      </c>
      <c r="C21" s="177" t="s">
        <v>367</v>
      </c>
      <c r="D21" s="177">
        <v>1</v>
      </c>
      <c r="E21" s="130"/>
      <c r="F21" s="131">
        <f>E21*D21</f>
        <v>0</v>
      </c>
    </row>
    <row r="22" spans="1:6" ht="15" customHeight="1">
      <c r="A22" s="226" t="s">
        <v>339</v>
      </c>
      <c r="B22" s="226"/>
      <c r="C22" s="226"/>
      <c r="D22" s="226"/>
      <c r="E22" s="226"/>
      <c r="F22" s="132">
        <f>SUM(F19:F21)</f>
        <v>0</v>
      </c>
    </row>
    <row r="23" spans="1:6" ht="15" customHeight="1">
      <c r="A23" s="226" t="s">
        <v>368</v>
      </c>
      <c r="B23" s="226"/>
      <c r="C23" s="226"/>
      <c r="D23" s="226"/>
      <c r="E23" s="226"/>
      <c r="F23" s="132">
        <f>TRUNC(F22*0.5%,2)</f>
        <v>0</v>
      </c>
    </row>
    <row r="24" spans="1:6" ht="15" customHeight="1">
      <c r="A24" s="226" t="s">
        <v>369</v>
      </c>
      <c r="B24" s="226"/>
      <c r="C24" s="226"/>
      <c r="D24" s="226"/>
      <c r="E24" s="226"/>
      <c r="F24" s="132">
        <f>TRUNC(F22*(1-0.2))/(12*8)</f>
        <v>0</v>
      </c>
    </row>
    <row r="25" spans="1:6" ht="15" customHeight="1">
      <c r="A25" s="226" t="s">
        <v>370</v>
      </c>
      <c r="B25" s="226"/>
      <c r="C25" s="226"/>
      <c r="D25" s="226"/>
      <c r="E25" s="226"/>
      <c r="F25" s="132">
        <f>SUM(F23:F24)</f>
        <v>0</v>
      </c>
    </row>
    <row r="26" spans="1:6" ht="15" customHeight="1">
      <c r="A26" s="232" t="s">
        <v>371</v>
      </c>
      <c r="B26" s="232"/>
      <c r="C26" s="232"/>
      <c r="D26" s="232"/>
      <c r="E26" s="232"/>
      <c r="F26" s="133">
        <f>F25/1</f>
        <v>0</v>
      </c>
    </row>
    <row r="28" spans="1:6" ht="15" customHeight="1">
      <c r="A28" s="233" t="s">
        <v>372</v>
      </c>
      <c r="B28" s="233"/>
      <c r="C28" s="233"/>
      <c r="D28" s="233"/>
      <c r="E28" s="233"/>
      <c r="F28" s="233"/>
    </row>
    <row r="29" spans="1:6">
      <c r="A29" s="233"/>
      <c r="B29" s="233"/>
      <c r="C29" s="233"/>
      <c r="D29" s="233"/>
      <c r="E29" s="233"/>
      <c r="F29" s="233"/>
    </row>
    <row r="30" spans="1:6">
      <c r="A30" s="233"/>
      <c r="B30" s="233"/>
      <c r="C30" s="233"/>
      <c r="D30" s="233"/>
      <c r="E30" s="233"/>
      <c r="F30" s="233"/>
    </row>
    <row r="31" spans="1:6">
      <c r="A31" s="233"/>
      <c r="B31" s="233"/>
      <c r="C31" s="233"/>
      <c r="D31" s="233"/>
      <c r="E31" s="233"/>
      <c r="F31" s="233"/>
    </row>
    <row r="32" spans="1:6">
      <c r="A32" s="233"/>
      <c r="B32" s="233"/>
      <c r="C32" s="233"/>
      <c r="D32" s="233"/>
      <c r="E32" s="233"/>
      <c r="F32" s="233"/>
    </row>
    <row r="33" spans="1:6">
      <c r="A33" s="233"/>
      <c r="B33" s="233"/>
      <c r="C33" s="233"/>
      <c r="D33" s="233"/>
      <c r="E33" s="233"/>
      <c r="F33" s="233"/>
    </row>
    <row r="34" spans="1:6">
      <c r="A34" s="233"/>
      <c r="B34" s="233"/>
      <c r="C34" s="233"/>
      <c r="D34" s="233"/>
      <c r="E34" s="233"/>
      <c r="F34" s="233"/>
    </row>
    <row r="35" spans="1:6">
      <c r="A35" s="233"/>
      <c r="B35" s="233"/>
      <c r="C35" s="233"/>
      <c r="D35" s="233"/>
      <c r="E35" s="233"/>
      <c r="F35" s="233"/>
    </row>
    <row r="36" spans="1:6">
      <c r="A36" s="233"/>
      <c r="B36" s="233"/>
      <c r="C36" s="233"/>
      <c r="D36" s="233"/>
      <c r="E36" s="233"/>
      <c r="F36" s="233"/>
    </row>
    <row r="37" spans="1:6" ht="98.25" customHeight="1">
      <c r="A37" s="233"/>
      <c r="B37" s="233"/>
      <c r="C37" s="233"/>
      <c r="D37" s="233"/>
      <c r="E37" s="233"/>
      <c r="F37" s="233"/>
    </row>
  </sheetData>
  <mergeCells count="12">
    <mergeCell ref="A26:E26"/>
    <mergeCell ref="A28:F37"/>
    <mergeCell ref="A17:F17"/>
    <mergeCell ref="A22:E22"/>
    <mergeCell ref="A23:E23"/>
    <mergeCell ref="A24:E24"/>
    <mergeCell ref="A25:E25"/>
    <mergeCell ref="A1:F1"/>
    <mergeCell ref="A3:F3"/>
    <mergeCell ref="A12:E12"/>
    <mergeCell ref="A13:E13"/>
    <mergeCell ref="A15:F15"/>
  </mergeCells>
  <pageMargins left="0.25" right="0.25" top="0.75" bottom="0.75" header="0.511811023622047" footer="0.511811023622047"/>
  <pageSetup paperSize="9"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J22"/>
  <sheetViews>
    <sheetView view="pageBreakPreview" zoomScale="90" zoomScaleNormal="100" zoomScaleSheetLayoutView="90" workbookViewId="0">
      <selection activeCell="H19" sqref="H19"/>
    </sheetView>
  </sheetViews>
  <sheetFormatPr defaultColWidth="8.85546875" defaultRowHeight="15"/>
  <cols>
    <col min="2" max="2" width="36.28515625" customWidth="1"/>
    <col min="3" max="3" width="24.140625" customWidth="1"/>
    <col min="4" max="4" width="13" customWidth="1"/>
    <col min="5" max="5" width="30.7109375" customWidth="1"/>
    <col min="9" max="9" width="22.5703125" customWidth="1"/>
    <col min="10" max="10" width="17.7109375" customWidth="1"/>
  </cols>
  <sheetData>
    <row r="1" spans="2:10" ht="15.75">
      <c r="B1" s="234" t="s">
        <v>235</v>
      </c>
      <c r="C1" s="234"/>
      <c r="D1" s="234"/>
      <c r="E1" s="234"/>
      <c r="F1" s="134"/>
      <c r="G1" s="134"/>
      <c r="H1" s="134"/>
      <c r="I1" s="134"/>
      <c r="J1" s="134"/>
    </row>
    <row r="2" spans="2:10" ht="25.35" customHeight="1">
      <c r="B2" s="135" t="s">
        <v>373</v>
      </c>
      <c r="C2" s="136" t="s">
        <v>237</v>
      </c>
      <c r="D2" s="235" t="s">
        <v>374</v>
      </c>
      <c r="E2" s="235"/>
      <c r="F2" s="134"/>
      <c r="G2" s="134"/>
      <c r="H2" s="134"/>
      <c r="I2" s="134"/>
      <c r="J2" s="134"/>
    </row>
    <row r="3" spans="2:10" ht="15.75">
      <c r="B3" s="137" t="s">
        <v>375</v>
      </c>
      <c r="C3" s="138" t="s">
        <v>376</v>
      </c>
      <c r="D3" s="236" t="s">
        <v>377</v>
      </c>
      <c r="E3" s="236"/>
      <c r="F3" s="134"/>
      <c r="G3" s="134"/>
      <c r="H3" s="134"/>
      <c r="I3" s="134"/>
      <c r="J3" s="134"/>
    </row>
    <row r="4" spans="2:10" ht="15.75">
      <c r="B4" s="139">
        <v>120</v>
      </c>
      <c r="C4" s="140">
        <f>E19</f>
        <v>214.57</v>
      </c>
      <c r="D4" s="237">
        <f>TRUNC((B4*C4),2)</f>
        <v>25748.400000000001</v>
      </c>
      <c r="E4" s="237"/>
      <c r="F4" s="134"/>
      <c r="G4" s="134"/>
      <c r="H4" s="141"/>
      <c r="I4" s="141"/>
      <c r="J4" s="141"/>
    </row>
    <row r="5" spans="2:10" ht="15.75">
      <c r="B5" s="142"/>
      <c r="C5" s="143"/>
      <c r="D5" s="143"/>
      <c r="E5" s="144"/>
      <c r="F5" s="134"/>
      <c r="G5" s="134"/>
      <c r="H5" s="141"/>
      <c r="I5" s="238" t="s">
        <v>248</v>
      </c>
      <c r="J5" s="238"/>
    </row>
    <row r="6" spans="2:10" ht="15.75">
      <c r="B6" s="142"/>
      <c r="C6" s="143"/>
      <c r="D6" s="143"/>
      <c r="E6" s="144"/>
      <c r="F6" s="134"/>
      <c r="G6" s="134"/>
      <c r="H6" s="141"/>
      <c r="I6" s="145" t="s">
        <v>249</v>
      </c>
      <c r="J6" s="146">
        <f>D18</f>
        <v>0.14250000000000002</v>
      </c>
    </row>
    <row r="7" spans="2:10" ht="15.75">
      <c r="B7" s="234" t="s">
        <v>378</v>
      </c>
      <c r="C7" s="234"/>
      <c r="D7" s="234"/>
      <c r="E7" s="234"/>
      <c r="F7" s="134"/>
      <c r="G7" s="134"/>
      <c r="H7" s="141"/>
      <c r="I7" s="147" t="s">
        <v>379</v>
      </c>
      <c r="J7" s="148">
        <f>E13</f>
        <v>184</v>
      </c>
    </row>
    <row r="8" spans="2:10" ht="15" customHeight="1">
      <c r="B8" s="239" t="s">
        <v>380</v>
      </c>
      <c r="C8" s="239"/>
      <c r="D8" s="239"/>
      <c r="E8" s="149">
        <v>184</v>
      </c>
      <c r="F8" s="134"/>
      <c r="G8" s="134"/>
      <c r="H8" s="141"/>
      <c r="I8" s="145" t="s">
        <v>381</v>
      </c>
      <c r="J8" s="150">
        <f>(1-J6)</f>
        <v>0.85749999999999993</v>
      </c>
    </row>
    <row r="9" spans="2:10" ht="15.75">
      <c r="B9" s="240" t="s">
        <v>382</v>
      </c>
      <c r="C9" s="240"/>
      <c r="D9" s="151" t="s">
        <v>383</v>
      </c>
      <c r="E9" s="152" t="s">
        <v>384</v>
      </c>
      <c r="F9" s="134"/>
      <c r="G9" s="134"/>
      <c r="H9" s="141"/>
      <c r="I9" s="153"/>
      <c r="J9" s="153"/>
    </row>
    <row r="10" spans="2:10" ht="15.75">
      <c r="B10" s="241" t="s">
        <v>385</v>
      </c>
      <c r="C10" s="241"/>
      <c r="D10" s="154">
        <f>'Motorista Interestadual'!C130</f>
        <v>0</v>
      </c>
      <c r="E10" s="155">
        <f>TRUNC((E8*D10),2)</f>
        <v>0</v>
      </c>
      <c r="F10" s="134"/>
      <c r="G10" s="134"/>
      <c r="H10" s="141"/>
      <c r="I10" s="153"/>
      <c r="J10" s="153"/>
    </row>
    <row r="11" spans="2:10" ht="15.75">
      <c r="B11" s="242" t="s">
        <v>386</v>
      </c>
      <c r="C11" s="242"/>
      <c r="D11" s="154">
        <f>'Motorista Interestadual'!C131</f>
        <v>0</v>
      </c>
      <c r="E11" s="155">
        <f>TRUNC((E8*D11),2)</f>
        <v>0</v>
      </c>
      <c r="F11" s="134"/>
      <c r="G11" s="134"/>
      <c r="H11" s="141"/>
      <c r="I11" s="141"/>
      <c r="J11" s="141"/>
    </row>
    <row r="12" spans="2:10" ht="15" customHeight="1">
      <c r="B12" s="243" t="s">
        <v>387</v>
      </c>
      <c r="C12" s="243"/>
      <c r="D12" s="243"/>
      <c r="E12" s="156">
        <f>TRUNC((SUM(E10:E11)),2)</f>
        <v>0</v>
      </c>
      <c r="F12" s="134"/>
      <c r="G12" s="134"/>
      <c r="H12" s="141"/>
      <c r="I12" s="141"/>
      <c r="J12" s="141"/>
    </row>
    <row r="13" spans="2:10" ht="15" customHeight="1">
      <c r="B13" s="244" t="s">
        <v>221</v>
      </c>
      <c r="C13" s="244"/>
      <c r="D13" s="244"/>
      <c r="E13" s="157">
        <f>TRUNC((E8+E12),2)</f>
        <v>184</v>
      </c>
      <c r="F13" s="134"/>
      <c r="G13" s="134"/>
      <c r="H13" s="141"/>
      <c r="I13" s="141"/>
      <c r="J13" s="141"/>
    </row>
    <row r="14" spans="2:10" ht="15.75">
      <c r="B14" s="245" t="s">
        <v>388</v>
      </c>
      <c r="C14" s="245"/>
      <c r="D14" s="158" t="s">
        <v>383</v>
      </c>
      <c r="E14" s="159" t="s">
        <v>389</v>
      </c>
      <c r="F14" s="134"/>
      <c r="G14" s="134"/>
      <c r="H14" s="134"/>
      <c r="I14" s="134"/>
      <c r="J14" s="134"/>
    </row>
    <row r="15" spans="2:10" ht="15.75">
      <c r="B15" s="241" t="s">
        <v>64</v>
      </c>
      <c r="C15" s="241"/>
      <c r="D15" s="154">
        <f>'Motorista Interestadual'!C133</f>
        <v>1.6500000000000001E-2</v>
      </c>
      <c r="E15" s="155">
        <f>(J7/J8)*(D15)</f>
        <v>3.5405247813411083</v>
      </c>
      <c r="F15" s="134"/>
      <c r="G15" s="134"/>
      <c r="H15" s="134"/>
      <c r="I15" s="134"/>
      <c r="J15" s="134"/>
    </row>
    <row r="16" spans="2:10" ht="15.75">
      <c r="B16" s="242" t="s">
        <v>62</v>
      </c>
      <c r="C16" s="242"/>
      <c r="D16" s="154">
        <f>'Motorista Interestadual'!C134</f>
        <v>7.5999999999999998E-2</v>
      </c>
      <c r="E16" s="155">
        <f>(J7/J8)*(D16)</f>
        <v>16.307871720116619</v>
      </c>
      <c r="F16" s="134"/>
      <c r="G16" s="134"/>
      <c r="H16" s="134"/>
      <c r="I16" s="134"/>
      <c r="J16" s="134"/>
    </row>
    <row r="17" spans="2:10" ht="15.75">
      <c r="B17" s="241" t="s">
        <v>60</v>
      </c>
      <c r="C17" s="241"/>
      <c r="D17" s="154">
        <f>'Motorista Interestadual'!C135</f>
        <v>0.05</v>
      </c>
      <c r="E17" s="160">
        <f>(E13/J8)*(D17)</f>
        <v>10.728862973760934</v>
      </c>
      <c r="F17" s="134"/>
      <c r="G17" s="134"/>
      <c r="H17" s="134"/>
      <c r="I17" s="134"/>
      <c r="J17" s="134"/>
    </row>
    <row r="18" spans="2:10" ht="15.75">
      <c r="B18" s="246" t="s">
        <v>249</v>
      </c>
      <c r="C18" s="246"/>
      <c r="D18" s="161">
        <f>SUM(D15:D17)</f>
        <v>0.14250000000000002</v>
      </c>
      <c r="E18" s="162">
        <f>SUM(E15:E17)</f>
        <v>30.577259475218661</v>
      </c>
      <c r="F18" s="134"/>
      <c r="G18" s="134"/>
      <c r="H18" s="134"/>
      <c r="I18" s="134"/>
      <c r="J18" s="134"/>
    </row>
    <row r="19" spans="2:10" ht="15" customHeight="1">
      <c r="B19" s="247" t="s">
        <v>221</v>
      </c>
      <c r="C19" s="247"/>
      <c r="D19" s="247"/>
      <c r="E19" s="163">
        <f>TRUNC((E13+E18),2)</f>
        <v>214.57</v>
      </c>
      <c r="F19" s="134"/>
      <c r="G19" s="134"/>
      <c r="H19" s="134"/>
      <c r="I19" s="134"/>
      <c r="J19" s="134"/>
    </row>
    <row r="20" spans="2:10">
      <c r="B20" s="60"/>
      <c r="C20" s="60"/>
      <c r="D20" s="60"/>
      <c r="E20" s="60"/>
      <c r="F20" s="134"/>
      <c r="G20" s="134"/>
      <c r="H20" s="134"/>
      <c r="I20" s="134"/>
      <c r="J20" s="134"/>
    </row>
    <row r="21" spans="2:10" ht="60" customHeight="1">
      <c r="B21" s="248" t="s">
        <v>390</v>
      </c>
      <c r="C21" s="248"/>
      <c r="D21" s="248"/>
      <c r="E21" s="248"/>
      <c r="F21" s="134"/>
      <c r="G21" s="134"/>
      <c r="H21" s="134"/>
      <c r="I21" s="134"/>
      <c r="J21" s="134"/>
    </row>
    <row r="22" spans="2:10" ht="15" customHeight="1">
      <c r="B22" s="248" t="s">
        <v>391</v>
      </c>
      <c r="C22" s="248"/>
      <c r="D22" s="248"/>
      <c r="E22" s="248"/>
      <c r="F22" s="134"/>
      <c r="G22" s="134"/>
      <c r="H22" s="134"/>
      <c r="I22" s="134"/>
      <c r="J22" s="134"/>
    </row>
  </sheetData>
  <mergeCells count="20">
    <mergeCell ref="B17:C17"/>
    <mergeCell ref="B18:C18"/>
    <mergeCell ref="B19:D19"/>
    <mergeCell ref="B21:E21"/>
    <mergeCell ref="B22:E22"/>
    <mergeCell ref="B12:D12"/>
    <mergeCell ref="B13:D13"/>
    <mergeCell ref="B14:C14"/>
    <mergeCell ref="B15:C15"/>
    <mergeCell ref="B16:C16"/>
    <mergeCell ref="B7:E7"/>
    <mergeCell ref="B8:D8"/>
    <mergeCell ref="B9:C9"/>
    <mergeCell ref="B10:C10"/>
    <mergeCell ref="B11:C11"/>
    <mergeCell ref="B1:E1"/>
    <mergeCell ref="D2:E2"/>
    <mergeCell ref="D3:E3"/>
    <mergeCell ref="D4:E4"/>
    <mergeCell ref="I5:J5"/>
  </mergeCells>
  <pageMargins left="0.25" right="0.25" top="0.75" bottom="0.75" header="0.511811023622047" footer="0.511811023622047"/>
  <pageSetup paperSize="9" scale="55"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48"/>
  <sheetViews>
    <sheetView showGridLines="0" view="pageBreakPreview" zoomScaleNormal="85" workbookViewId="0"/>
  </sheetViews>
  <sheetFormatPr defaultColWidth="9" defaultRowHeight="15" outlineLevelRow="1"/>
  <cols>
    <col min="1" max="1" width="12.42578125" customWidth="1"/>
    <col min="2" max="2" width="76.42578125" customWidth="1"/>
    <col min="3" max="3" width="28.42578125" customWidth="1"/>
    <col min="4" max="4" width="27.42578125" customWidth="1"/>
    <col min="6" max="6" width="32.7109375" customWidth="1"/>
    <col min="7" max="7" width="13" customWidth="1"/>
  </cols>
  <sheetData>
    <row r="1" spans="1:7">
      <c r="A1" s="189" t="s">
        <v>14</v>
      </c>
      <c r="B1" s="189"/>
      <c r="C1" s="189"/>
      <c r="D1" s="189"/>
      <c r="F1" s="190" t="s">
        <v>15</v>
      </c>
      <c r="G1" s="190"/>
    </row>
    <row r="2" spans="1:7">
      <c r="A2" s="1" t="s">
        <v>16</v>
      </c>
      <c r="B2" t="s">
        <v>17</v>
      </c>
      <c r="C2" s="1" t="s">
        <v>18</v>
      </c>
      <c r="D2" s="1" t="s">
        <v>19</v>
      </c>
      <c r="F2" t="s">
        <v>17</v>
      </c>
      <c r="G2" t="s">
        <v>19</v>
      </c>
    </row>
    <row r="3" spans="1:7">
      <c r="A3" s="1">
        <v>1</v>
      </c>
      <c r="B3" t="s">
        <v>20</v>
      </c>
      <c r="C3" s="1"/>
      <c r="D3" s="1" t="s">
        <v>21</v>
      </c>
      <c r="F3" t="s">
        <v>22</v>
      </c>
      <c r="G3" s="2">
        <v>0</v>
      </c>
    </row>
    <row r="4" spans="1:7">
      <c r="A4" s="1">
        <v>2</v>
      </c>
      <c r="B4" t="s">
        <v>23</v>
      </c>
      <c r="C4" s="1"/>
      <c r="D4" s="1" t="s">
        <v>24</v>
      </c>
      <c r="F4" t="s">
        <v>25</v>
      </c>
      <c r="G4" s="2">
        <v>12</v>
      </c>
    </row>
    <row r="5" spans="1:7">
      <c r="A5" s="1">
        <v>3</v>
      </c>
      <c r="B5" t="s">
        <v>26</v>
      </c>
      <c r="C5" s="1" t="s">
        <v>27</v>
      </c>
      <c r="D5" s="3">
        <v>998</v>
      </c>
      <c r="F5" t="s">
        <v>28</v>
      </c>
      <c r="G5" s="4">
        <v>22</v>
      </c>
    </row>
    <row r="6" spans="1:7">
      <c r="A6" s="1">
        <v>4</v>
      </c>
      <c r="B6" t="s">
        <v>29</v>
      </c>
      <c r="C6" s="1" t="s">
        <v>30</v>
      </c>
      <c r="D6" s="1" t="s">
        <v>31</v>
      </c>
      <c r="F6" t="s">
        <v>32</v>
      </c>
      <c r="G6" s="5">
        <v>0.03</v>
      </c>
    </row>
    <row r="7" spans="1:7">
      <c r="A7" s="1">
        <v>5</v>
      </c>
      <c r="B7" t="s">
        <v>33</v>
      </c>
      <c r="C7" s="1"/>
      <c r="D7" s="1" t="s">
        <v>34</v>
      </c>
    </row>
    <row r="8" spans="1:7">
      <c r="F8" s="190" t="s">
        <v>35</v>
      </c>
      <c r="G8" s="190"/>
    </row>
    <row r="9" spans="1:7">
      <c r="A9" s="191" t="s">
        <v>36</v>
      </c>
      <c r="B9" s="191"/>
      <c r="C9" s="191"/>
      <c r="D9" s="191"/>
      <c r="F9" t="s">
        <v>37</v>
      </c>
      <c r="G9" t="s">
        <v>38</v>
      </c>
    </row>
    <row r="10" spans="1:7">
      <c r="A10" s="1" t="s">
        <v>39</v>
      </c>
      <c r="B10" t="s">
        <v>40</v>
      </c>
      <c r="C10" s="1" t="s">
        <v>18</v>
      </c>
      <c r="D10" s="1" t="s">
        <v>19</v>
      </c>
      <c r="F10" t="s">
        <v>41</v>
      </c>
      <c r="G10" s="6">
        <v>0.43369999999999997</v>
      </c>
    </row>
    <row r="11" spans="1:7">
      <c r="A11" s="1" t="s">
        <v>42</v>
      </c>
      <c r="B11" t="s">
        <v>43</v>
      </c>
      <c r="C11" s="1"/>
      <c r="D11" s="7">
        <f>Salário_Normativo_da_Categoria_Profissional</f>
        <v>998</v>
      </c>
      <c r="F11" t="s">
        <v>44</v>
      </c>
      <c r="G11" s="6">
        <v>0.43369999999999997</v>
      </c>
    </row>
    <row r="12" spans="1:7">
      <c r="A12" s="1" t="s">
        <v>45</v>
      </c>
      <c r="B12" t="s">
        <v>46</v>
      </c>
      <c r="C12" s="1"/>
      <c r="D12" s="7"/>
      <c r="F12" t="s">
        <v>47</v>
      </c>
      <c r="G12" s="6">
        <v>2.18E-2</v>
      </c>
    </row>
    <row r="13" spans="1:7">
      <c r="A13" s="1" t="s">
        <v>48</v>
      </c>
      <c r="B13" t="s">
        <v>49</v>
      </c>
      <c r="C13" s="1"/>
      <c r="D13" s="7"/>
    </row>
    <row r="14" spans="1:7">
      <c r="A14" s="1" t="s">
        <v>50</v>
      </c>
      <c r="B14" t="s">
        <v>51</v>
      </c>
      <c r="C14" s="1"/>
      <c r="D14" s="7"/>
      <c r="F14" s="190" t="s">
        <v>52</v>
      </c>
      <c r="G14" s="190"/>
    </row>
    <row r="15" spans="1:7">
      <c r="A15" s="1" t="s">
        <v>53</v>
      </c>
      <c r="B15" t="s">
        <v>54</v>
      </c>
      <c r="C15" s="1"/>
      <c r="D15" s="7"/>
      <c r="F15" t="s">
        <v>17</v>
      </c>
      <c r="G15" t="s">
        <v>38</v>
      </c>
    </row>
    <row r="16" spans="1:7">
      <c r="A16" s="1" t="s">
        <v>55</v>
      </c>
      <c r="B16" t="s">
        <v>56</v>
      </c>
      <c r="C16" s="1"/>
      <c r="D16" s="7"/>
      <c r="F16" t="s">
        <v>57</v>
      </c>
      <c r="G16" s="8">
        <v>4.7100000000000003E-2</v>
      </c>
    </row>
    <row r="17" spans="1:7">
      <c r="A17" s="1" t="s">
        <v>58</v>
      </c>
      <c r="C17" s="1"/>
      <c r="D17" s="7">
        <f ca="1">SUBTOTAL(109,Módulo1[Valor])</f>
        <v>998</v>
      </c>
      <c r="F17" t="s">
        <v>59</v>
      </c>
      <c r="G17" s="8">
        <v>4.6699999999999998E-2</v>
      </c>
    </row>
    <row r="18" spans="1:7">
      <c r="F18" t="s">
        <v>60</v>
      </c>
      <c r="G18" s="9">
        <v>1.6500000000000001E-2</v>
      </c>
    </row>
    <row r="19" spans="1:7">
      <c r="A19" s="192" t="s">
        <v>61</v>
      </c>
      <c r="B19" s="192"/>
      <c r="C19" s="192"/>
      <c r="D19" s="192"/>
      <c r="F19" t="s">
        <v>62</v>
      </c>
      <c r="G19" s="9">
        <v>7.5999999999999998E-2</v>
      </c>
    </row>
    <row r="20" spans="1:7">
      <c r="A20" s="190" t="s">
        <v>63</v>
      </c>
      <c r="B20" s="190"/>
      <c r="C20" s="190"/>
      <c r="D20" s="190"/>
      <c r="F20" t="s">
        <v>64</v>
      </c>
      <c r="G20" s="9">
        <v>0.05</v>
      </c>
    </row>
    <row r="21" spans="1:7">
      <c r="A21" s="1" t="s">
        <v>65</v>
      </c>
      <c r="B21" t="s">
        <v>66</v>
      </c>
      <c r="C21" s="1" t="s">
        <v>18</v>
      </c>
      <c r="D21" s="1" t="s">
        <v>19</v>
      </c>
    </row>
    <row r="22" spans="1:7">
      <c r="A22" s="1" t="s">
        <v>42</v>
      </c>
      <c r="B22" t="s">
        <v>67</v>
      </c>
      <c r="D22" s="7" t="e">
        <f>Módulo1[[#Totals],[Valor]]/12</f>
        <v>#REF!</v>
      </c>
    </row>
    <row r="23" spans="1:7">
      <c r="A23" s="1" t="s">
        <v>45</v>
      </c>
      <c r="B23" t="s">
        <v>68</v>
      </c>
      <c r="D23" s="7" t="e">
        <f>(Módulo1[[#Totals],[Valor]]/12)*(1+(1/3))</f>
        <v>#REF!</v>
      </c>
    </row>
    <row r="24" spans="1:7">
      <c r="A24" s="1" t="s">
        <v>58</v>
      </c>
      <c r="D24" s="7" t="e">
        <f>SUBTOTAL(109,Submódulo2.1[Valor])</f>
        <v>#REF!</v>
      </c>
    </row>
    <row r="25" spans="1:7">
      <c r="A25" s="1"/>
      <c r="D25" s="7"/>
    </row>
    <row r="26" spans="1:7">
      <c r="A26" s="193" t="s">
        <v>69</v>
      </c>
      <c r="B26" s="193"/>
      <c r="C26" s="193"/>
      <c r="D26" s="193"/>
    </row>
    <row r="27" spans="1:7">
      <c r="A27" s="10" t="s">
        <v>16</v>
      </c>
      <c r="B27" s="10" t="s">
        <v>70</v>
      </c>
      <c r="C27" s="10" t="s">
        <v>71</v>
      </c>
      <c r="D27" s="11" t="s">
        <v>72</v>
      </c>
    </row>
    <row r="28" spans="1:7" ht="30">
      <c r="A28" s="12" t="s">
        <v>42</v>
      </c>
      <c r="B28" s="13" t="s">
        <v>73</v>
      </c>
      <c r="C28" s="14" t="s">
        <v>74</v>
      </c>
      <c r="D28" s="13" t="s">
        <v>75</v>
      </c>
    </row>
    <row r="29" spans="1:7" ht="30">
      <c r="A29" s="12" t="s">
        <v>45</v>
      </c>
      <c r="B29" s="15" t="s">
        <v>68</v>
      </c>
      <c r="C29" s="14" t="s">
        <v>74</v>
      </c>
      <c r="D29" s="13" t="s">
        <v>76</v>
      </c>
    </row>
    <row r="30" spans="1:7">
      <c r="A30" s="1"/>
      <c r="B30" s="1"/>
      <c r="C30" s="16"/>
    </row>
    <row r="31" spans="1:7">
      <c r="A31" s="190" t="s">
        <v>77</v>
      </c>
      <c r="B31" s="190"/>
      <c r="C31" s="190"/>
      <c r="D31" s="190"/>
    </row>
    <row r="32" spans="1:7">
      <c r="A32" s="1" t="s">
        <v>78</v>
      </c>
      <c r="B32" t="s">
        <v>79</v>
      </c>
      <c r="C32" s="1" t="s">
        <v>38</v>
      </c>
      <c r="D32" s="1" t="s">
        <v>80</v>
      </c>
    </row>
    <row r="33" spans="1:4">
      <c r="A33" s="1" t="s">
        <v>42</v>
      </c>
      <c r="B33" t="s">
        <v>81</v>
      </c>
      <c r="C33" s="17">
        <v>0.2</v>
      </c>
      <c r="D33" s="7" t="e">
        <f>C33*(Módulo1[[#Totals],[Valor]]+Submódulo2.1[[#Totals],[Valor]])</f>
        <v>#REF!</v>
      </c>
    </row>
    <row r="34" spans="1:4">
      <c r="A34" s="1" t="s">
        <v>45</v>
      </c>
      <c r="B34" t="s">
        <v>82</v>
      </c>
      <c r="C34" s="17">
        <v>2.5000000000000001E-2</v>
      </c>
      <c r="D34" s="7" t="e">
        <f>C34*(Módulo1[[#Totals],[Valor]]+Submódulo2.1[[#Totals],[Valor]])</f>
        <v>#REF!</v>
      </c>
    </row>
    <row r="35" spans="1:4">
      <c r="A35" s="1" t="s">
        <v>48</v>
      </c>
      <c r="B35" t="s">
        <v>83</v>
      </c>
      <c r="C35" s="17">
        <f>Servente!G6</f>
        <v>0.03</v>
      </c>
      <c r="D35" s="7" t="e">
        <f>C35*(Módulo1[[#Totals],[Valor]]+Submódulo2.1[[#Totals],[Valor]])</f>
        <v>#REF!</v>
      </c>
    </row>
    <row r="36" spans="1:4">
      <c r="A36" s="1" t="s">
        <v>50</v>
      </c>
      <c r="B36" t="s">
        <v>84</v>
      </c>
      <c r="C36" s="17">
        <v>1.4999999999999999E-2</v>
      </c>
      <c r="D36" s="7" t="e">
        <f>C36*(Módulo1[[#Totals],[Valor]]+Submódulo2.1[[#Totals],[Valor]])</f>
        <v>#REF!</v>
      </c>
    </row>
    <row r="37" spans="1:4">
      <c r="A37" s="1" t="s">
        <v>53</v>
      </c>
      <c r="B37" t="s">
        <v>85</v>
      </c>
      <c r="C37" s="17">
        <v>0.01</v>
      </c>
      <c r="D37" s="7" t="e">
        <f>C37*(Módulo1[[#Totals],[Valor]]+Submódulo2.1[[#Totals],[Valor]])</f>
        <v>#REF!</v>
      </c>
    </row>
    <row r="38" spans="1:4">
      <c r="A38" s="1" t="s">
        <v>55</v>
      </c>
      <c r="B38" t="s">
        <v>86</v>
      </c>
      <c r="C38" s="17">
        <v>6.0000000000000001E-3</v>
      </c>
      <c r="D38" s="7" t="e">
        <f>C38*(Módulo1[[#Totals],[Valor]]+Submódulo2.1[[#Totals],[Valor]])</f>
        <v>#REF!</v>
      </c>
    </row>
    <row r="39" spans="1:4">
      <c r="A39" s="1" t="s">
        <v>87</v>
      </c>
      <c r="B39" t="s">
        <v>88</v>
      </c>
      <c r="C39" s="17">
        <v>2E-3</v>
      </c>
      <c r="D39" s="7" t="e">
        <f>C39*(Módulo1[[#Totals],[Valor]]+Submódulo2.1[[#Totals],[Valor]])</f>
        <v>#REF!</v>
      </c>
    </row>
    <row r="40" spans="1:4">
      <c r="A40" s="1" t="s">
        <v>89</v>
      </c>
      <c r="B40" t="s">
        <v>90</v>
      </c>
      <c r="C40" s="17">
        <v>0.08</v>
      </c>
      <c r="D40" s="7" t="e">
        <f>C40*(Módulo1[[#Totals],[Valor]]+Submódulo2.1[[#Totals],[Valor]])</f>
        <v>#REF!</v>
      </c>
    </row>
    <row r="41" spans="1:4">
      <c r="A41" s="1" t="s">
        <v>58</v>
      </c>
      <c r="C41" s="18">
        <f ca="1">SUBTOTAL(109,Submódulo2.2[Percentual])</f>
        <v>0.36799999999999999</v>
      </c>
      <c r="D41" s="7" t="e">
        <f>SUBTOTAL(109,Submódulo2.2[[Valor ]])</f>
        <v>#REF!</v>
      </c>
    </row>
    <row r="42" spans="1:4">
      <c r="A42" s="1"/>
      <c r="C42" s="18"/>
      <c r="D42" s="7"/>
    </row>
    <row r="43" spans="1:4">
      <c r="A43" s="193" t="s">
        <v>91</v>
      </c>
      <c r="B43" s="193"/>
      <c r="C43" s="193"/>
      <c r="D43" s="193"/>
    </row>
    <row r="44" spans="1:4">
      <c r="A44" s="10" t="s">
        <v>16</v>
      </c>
      <c r="B44" s="10" t="s">
        <v>70</v>
      </c>
      <c r="C44" s="10" t="s">
        <v>71</v>
      </c>
      <c r="D44" s="11" t="s">
        <v>72</v>
      </c>
    </row>
    <row r="45" spans="1:4" ht="30">
      <c r="A45" s="12" t="s">
        <v>92</v>
      </c>
      <c r="B45" s="13" t="s">
        <v>79</v>
      </c>
      <c r="C45" s="13" t="s">
        <v>93</v>
      </c>
      <c r="D45" s="13" t="s">
        <v>94</v>
      </c>
    </row>
    <row r="47" spans="1:4">
      <c r="A47" s="190" t="s">
        <v>95</v>
      </c>
      <c r="B47" s="190"/>
      <c r="C47" s="190"/>
      <c r="D47" s="190"/>
    </row>
    <row r="48" spans="1:4">
      <c r="A48" s="1" t="s">
        <v>96</v>
      </c>
      <c r="B48" t="s">
        <v>97</v>
      </c>
      <c r="C48" s="1" t="s">
        <v>18</v>
      </c>
      <c r="D48" s="1" t="s">
        <v>19</v>
      </c>
    </row>
    <row r="49" spans="1:4">
      <c r="A49" s="1" t="s">
        <v>42</v>
      </c>
      <c r="B49" t="s">
        <v>98</v>
      </c>
      <c r="D49" s="7">
        <f>IF(G3=0,0,(Servente!G3*2*Servente!G5)-(6%*_1A))</f>
        <v>0</v>
      </c>
    </row>
    <row r="50" spans="1:4">
      <c r="A50" s="1" t="s">
        <v>45</v>
      </c>
      <c r="B50" t="s">
        <v>99</v>
      </c>
      <c r="D50" s="7">
        <f>(Servente!G4*Servente!G5)*80%</f>
        <v>211.20000000000002</v>
      </c>
    </row>
    <row r="51" spans="1:4">
      <c r="A51" s="1" t="s">
        <v>48</v>
      </c>
      <c r="B51" t="s">
        <v>100</v>
      </c>
      <c r="D51" s="7"/>
    </row>
    <row r="52" spans="1:4">
      <c r="A52" s="1" t="s">
        <v>50</v>
      </c>
      <c r="B52" t="s">
        <v>56</v>
      </c>
      <c r="D52" s="7"/>
    </row>
    <row r="53" spans="1:4">
      <c r="A53" s="1" t="s">
        <v>58</v>
      </c>
      <c r="D53" s="7">
        <v>211.2</v>
      </c>
    </row>
    <row r="54" spans="1:4">
      <c r="A54" s="1"/>
      <c r="D54" s="7"/>
    </row>
    <row r="55" spans="1:4">
      <c r="A55" s="193" t="s">
        <v>101</v>
      </c>
      <c r="B55" s="193"/>
      <c r="C55" s="193"/>
      <c r="D55" s="193"/>
    </row>
    <row r="56" spans="1:4">
      <c r="A56" s="10" t="s">
        <v>16</v>
      </c>
      <c r="B56" s="10" t="s">
        <v>70</v>
      </c>
      <c r="C56" s="10" t="s">
        <v>71</v>
      </c>
      <c r="D56" s="10" t="s">
        <v>72</v>
      </c>
    </row>
    <row r="57" spans="1:4" ht="45">
      <c r="A57" s="12" t="s">
        <v>42</v>
      </c>
      <c r="B57" s="13" t="s">
        <v>98</v>
      </c>
      <c r="C57" s="14" t="s">
        <v>102</v>
      </c>
      <c r="D57" s="14" t="s">
        <v>103</v>
      </c>
    </row>
    <row r="58" spans="1:4" ht="30">
      <c r="A58" s="12" t="s">
        <v>45</v>
      </c>
      <c r="B58" s="15" t="s">
        <v>99</v>
      </c>
      <c r="C58" s="14" t="s">
        <v>102</v>
      </c>
      <c r="D58" s="14" t="s">
        <v>104</v>
      </c>
    </row>
    <row r="59" spans="1:4" ht="19.5" customHeight="1">
      <c r="A59" s="1"/>
      <c r="D59" s="7"/>
    </row>
    <row r="60" spans="1:4">
      <c r="A60" s="190" t="s">
        <v>105</v>
      </c>
      <c r="B60" s="190"/>
      <c r="C60" s="190"/>
      <c r="D60" s="190"/>
    </row>
    <row r="61" spans="1:4">
      <c r="A61" s="1" t="s">
        <v>106</v>
      </c>
      <c r="B61" t="s">
        <v>107</v>
      </c>
      <c r="C61" s="1" t="s">
        <v>18</v>
      </c>
      <c r="D61" s="1" t="s">
        <v>19</v>
      </c>
    </row>
    <row r="62" spans="1:4">
      <c r="A62" s="1" t="s">
        <v>65</v>
      </c>
      <c r="B62" t="s">
        <v>66</v>
      </c>
      <c r="C62" s="1"/>
      <c r="D62" s="7" t="e">
        <f>Submódulo2.1[[#Totals],[Valor]]</f>
        <v>#REF!</v>
      </c>
    </row>
    <row r="63" spans="1:4">
      <c r="A63" s="1" t="s">
        <v>78</v>
      </c>
      <c r="B63" t="s">
        <v>79</v>
      </c>
      <c r="C63" s="1"/>
      <c r="D63" s="7" t="e">
        <f>Submódulo2.2[[#Totals],[Valor ]]</f>
        <v>#REF!</v>
      </c>
    </row>
    <row r="64" spans="1:4">
      <c r="A64" s="1" t="s">
        <v>96</v>
      </c>
      <c r="B64" t="s">
        <v>97</v>
      </c>
      <c r="C64" s="1"/>
      <c r="D64" s="7" t="e">
        <f>Submódulo2.3[[#Totals],[Valor]]</f>
        <v>#REF!</v>
      </c>
    </row>
    <row r="65" spans="1:4">
      <c r="A65" s="1" t="s">
        <v>58</v>
      </c>
      <c r="C65" s="1"/>
      <c r="D65" s="7">
        <v>843.93200000000002</v>
      </c>
    </row>
    <row r="67" spans="1:4">
      <c r="A67" s="191" t="s">
        <v>108</v>
      </c>
      <c r="B67" s="191"/>
      <c r="C67" s="191"/>
      <c r="D67" s="191"/>
    </row>
    <row r="68" spans="1:4">
      <c r="A68" s="1" t="s">
        <v>109</v>
      </c>
      <c r="B68" t="s">
        <v>110</v>
      </c>
      <c r="C68" s="1" t="s">
        <v>18</v>
      </c>
      <c r="D68" s="1" t="s">
        <v>19</v>
      </c>
    </row>
    <row r="69" spans="1:4">
      <c r="A69" s="1" t="s">
        <v>42</v>
      </c>
      <c r="B69" t="s">
        <v>111</v>
      </c>
      <c r="D69" s="7" t="e">
        <f>((Módulo1[[#Totals],[Valor]]+D62+D64)/12)*Servente!G10</f>
        <v>#REF!</v>
      </c>
    </row>
    <row r="70" spans="1:4">
      <c r="A70" s="1" t="s">
        <v>45</v>
      </c>
      <c r="B70" t="s">
        <v>112</v>
      </c>
      <c r="D70" s="7" t="e">
        <f>(D40/12)*Servente!G10</f>
        <v>#REF!</v>
      </c>
    </row>
    <row r="71" spans="1:4">
      <c r="A71" s="1" t="s">
        <v>48</v>
      </c>
      <c r="B71" t="s">
        <v>113</v>
      </c>
      <c r="D71" s="7" t="e">
        <f>D40*50%*Servente!G10</f>
        <v>#REF!</v>
      </c>
    </row>
    <row r="72" spans="1:4">
      <c r="A72" s="1" t="s">
        <v>50</v>
      </c>
      <c r="B72" t="s">
        <v>114</v>
      </c>
      <c r="D72" s="7" t="e">
        <f>((Módulo1[[#Totals],[Valor]]+ResumoMódulo2[[#Totals],[Valor]])/12)*Servente!G11</f>
        <v>#REF!</v>
      </c>
    </row>
    <row r="73" spans="1:4">
      <c r="A73" s="1" t="s">
        <v>53</v>
      </c>
      <c r="B73" t="s">
        <v>115</v>
      </c>
      <c r="D73" s="7" t="e">
        <f>D40*50%*Servente!G11</f>
        <v>#REF!</v>
      </c>
    </row>
    <row r="74" spans="1:4">
      <c r="A74" s="1" t="s">
        <v>55</v>
      </c>
      <c r="B74" t="s">
        <v>116</v>
      </c>
      <c r="D74" s="7" t="e">
        <f>-D62*Servente!G12</f>
        <v>#REF!</v>
      </c>
    </row>
    <row r="75" spans="1:4">
      <c r="A75" s="1" t="s">
        <v>58</v>
      </c>
      <c r="D75" s="7" t="e">
        <f>SUBTOTAL(109,Módulo3[Valor])</f>
        <v>#REF!</v>
      </c>
    </row>
    <row r="76" spans="1:4">
      <c r="A76" s="1"/>
      <c r="D76" s="7"/>
    </row>
    <row r="77" spans="1:4">
      <c r="A77" s="193" t="s">
        <v>117</v>
      </c>
      <c r="B77" s="193"/>
      <c r="C77" s="193"/>
      <c r="D77" s="193"/>
    </row>
    <row r="78" spans="1:4">
      <c r="A78" s="10" t="s">
        <v>16</v>
      </c>
      <c r="B78" s="10" t="s">
        <v>70</v>
      </c>
      <c r="C78" s="10" t="s">
        <v>71</v>
      </c>
      <c r="D78" s="10" t="s">
        <v>72</v>
      </c>
    </row>
    <row r="79" spans="1:4" ht="60">
      <c r="A79" s="12" t="s">
        <v>42</v>
      </c>
      <c r="B79" s="13" t="s">
        <v>111</v>
      </c>
      <c r="C79" s="14" t="s">
        <v>118</v>
      </c>
      <c r="D79" s="14" t="s">
        <v>119</v>
      </c>
    </row>
    <row r="80" spans="1:4" ht="60">
      <c r="A80" s="12" t="s">
        <v>45</v>
      </c>
      <c r="B80" s="15" t="s">
        <v>112</v>
      </c>
      <c r="C80" s="14" t="s">
        <v>120</v>
      </c>
      <c r="D80" s="14" t="s">
        <v>119</v>
      </c>
    </row>
    <row r="81" spans="1:4" ht="75">
      <c r="A81" s="12" t="s">
        <v>48</v>
      </c>
      <c r="B81" s="15" t="s">
        <v>113</v>
      </c>
      <c r="C81" s="14" t="s">
        <v>120</v>
      </c>
      <c r="D81" s="19" t="s">
        <v>121</v>
      </c>
    </row>
    <row r="82" spans="1:4" ht="60">
      <c r="A82" s="12" t="s">
        <v>50</v>
      </c>
      <c r="B82" s="16" t="s">
        <v>114</v>
      </c>
      <c r="C82" s="14" t="s">
        <v>122</v>
      </c>
      <c r="D82" s="19" t="s">
        <v>123</v>
      </c>
    </row>
    <row r="83" spans="1:4" ht="75">
      <c r="A83" s="12" t="s">
        <v>53</v>
      </c>
      <c r="B83" s="16" t="s">
        <v>115</v>
      </c>
      <c r="C83" s="14" t="s">
        <v>120</v>
      </c>
      <c r="D83" s="19" t="s">
        <v>124</v>
      </c>
    </row>
    <row r="84" spans="1:4" ht="60">
      <c r="A84" s="12" t="s">
        <v>55</v>
      </c>
      <c r="B84" s="16" t="s">
        <v>116</v>
      </c>
      <c r="C84" s="14" t="s">
        <v>125</v>
      </c>
      <c r="D84" s="19" t="s">
        <v>126</v>
      </c>
    </row>
    <row r="86" spans="1:4" ht="15" customHeight="1">
      <c r="A86" s="194" t="s">
        <v>127</v>
      </c>
      <c r="B86" s="194"/>
      <c r="C86" s="194"/>
      <c r="D86" s="194"/>
    </row>
    <row r="87" spans="1:4">
      <c r="A87" s="190" t="s">
        <v>128</v>
      </c>
      <c r="B87" s="190"/>
      <c r="C87" s="190"/>
      <c r="D87" s="190"/>
    </row>
    <row r="88" spans="1:4">
      <c r="A88" s="1" t="s">
        <v>129</v>
      </c>
      <c r="B88" t="s">
        <v>130</v>
      </c>
      <c r="C88" s="1" t="s">
        <v>131</v>
      </c>
      <c r="D88" s="1" t="s">
        <v>19</v>
      </c>
    </row>
    <row r="89" spans="1:4">
      <c r="A89" s="1" t="s">
        <v>42</v>
      </c>
      <c r="B89" t="s">
        <v>132</v>
      </c>
      <c r="C89" s="1">
        <v>20.71</v>
      </c>
      <c r="D89" s="7" t="e">
        <f>(((Módulo1[[#Totals],[Valor]]+ResumoMódulo2[[#Totals],[Valor]]+Módulo3[[#Totals],[Valor]])/30)*C89)/12</f>
        <v>#REF!</v>
      </c>
    </row>
    <row r="90" spans="1:4">
      <c r="A90" s="1" t="s">
        <v>45</v>
      </c>
      <c r="B90" t="s">
        <v>133</v>
      </c>
      <c r="C90" s="1">
        <v>1.4180999999999999</v>
      </c>
      <c r="D90" s="7" t="e">
        <f>(((Módulo1[[#Totals],[Valor]]+ResumoMódulo2[[#Totals],[Valor]]+Módulo3[[#Totals],[Valor]])/30)*C90)/12</f>
        <v>#REF!</v>
      </c>
    </row>
    <row r="91" spans="1:4">
      <c r="A91" s="1" t="s">
        <v>48</v>
      </c>
      <c r="B91" t="s">
        <v>134</v>
      </c>
      <c r="C91" s="1">
        <v>0.1898</v>
      </c>
      <c r="D91" s="7" t="e">
        <f>(((Módulo1[[#Totals],[Valor]]+ResumoMódulo2[[#Totals],[Valor]]+Módulo3[[#Totals],[Valor]])/30)*C91)/12</f>
        <v>#REF!</v>
      </c>
    </row>
    <row r="92" spans="1:4">
      <c r="A92" s="1" t="s">
        <v>50</v>
      </c>
      <c r="B92" t="s">
        <v>135</v>
      </c>
      <c r="C92" s="1">
        <v>0.95450000000000002</v>
      </c>
      <c r="D92" s="7" t="e">
        <f>(((Módulo1[[#Totals],[Valor]]+ResumoMódulo2[[#Totals],[Valor]]+Módulo3[[#Totals],[Valor]])/30)*C92)/12</f>
        <v>#REF!</v>
      </c>
    </row>
    <row r="93" spans="1:4">
      <c r="A93" s="1" t="s">
        <v>53</v>
      </c>
      <c r="B93" t="s">
        <v>136</v>
      </c>
      <c r="C93" s="1">
        <v>2.4723000000000002</v>
      </c>
      <c r="D93" s="7" t="e">
        <f>(((Módulo1[[#Totals],[Valor]]+ResumoMódulo2[[#Totals],[Valor]]+Módulo3[[#Totals],[Valor]])/30)*C93)/12</f>
        <v>#REF!</v>
      </c>
    </row>
    <row r="94" spans="1:4">
      <c r="A94" s="1" t="s">
        <v>55</v>
      </c>
      <c r="B94" t="s">
        <v>137</v>
      </c>
      <c r="C94" s="1">
        <v>3.4521000000000002</v>
      </c>
      <c r="D94" s="7" t="e">
        <f>(((Módulo1[[#Totals],[Valor]]+ResumoMódulo2[[#Totals],[Valor]]+Módulo3[[#Totals],[Valor]])/30)*C94)/12</f>
        <v>#REF!</v>
      </c>
    </row>
    <row r="95" spans="1:4">
      <c r="A95" s="1" t="s">
        <v>58</v>
      </c>
      <c r="C95" s="1">
        <f ca="1">SUBTOTAL(109,Submódulo4.1[Dias de ausência])</f>
        <v>29.1968</v>
      </c>
      <c r="D95" s="7" t="e">
        <f>SUBTOTAL(109,Submódulo4.1[Valor])</f>
        <v>#REF!</v>
      </c>
    </row>
    <row r="96" spans="1:4">
      <c r="A96" s="1"/>
      <c r="C96" s="1"/>
      <c r="D96" s="7"/>
    </row>
    <row r="97" spans="1:4">
      <c r="A97" s="193" t="s">
        <v>138</v>
      </c>
      <c r="B97" s="193"/>
      <c r="C97" s="193"/>
      <c r="D97" s="193"/>
    </row>
    <row r="98" spans="1:4">
      <c r="A98" s="10" t="s">
        <v>16</v>
      </c>
      <c r="B98" s="10" t="s">
        <v>70</v>
      </c>
      <c r="C98" s="10" t="s">
        <v>71</v>
      </c>
      <c r="D98" s="10" t="s">
        <v>72</v>
      </c>
    </row>
    <row r="99" spans="1:4">
      <c r="A99" s="12" t="s">
        <v>139</v>
      </c>
      <c r="B99" s="13" t="s">
        <v>140</v>
      </c>
      <c r="C99" s="14"/>
      <c r="D99" s="14"/>
    </row>
    <row r="100" spans="1:4" ht="45">
      <c r="A100" s="12" t="s">
        <v>139</v>
      </c>
      <c r="B100" s="15" t="s">
        <v>141</v>
      </c>
      <c r="C100" s="14" t="s">
        <v>142</v>
      </c>
      <c r="D100" s="14" t="s">
        <v>143</v>
      </c>
    </row>
    <row r="101" spans="1:4">
      <c r="A101" s="1"/>
      <c r="C101" s="1"/>
      <c r="D101" s="7"/>
    </row>
    <row r="102" spans="1:4">
      <c r="A102" s="190" t="s">
        <v>144</v>
      </c>
      <c r="B102" s="190"/>
      <c r="C102" s="190"/>
      <c r="D102" s="190"/>
    </row>
    <row r="103" spans="1:4">
      <c r="A103" s="1" t="s">
        <v>145</v>
      </c>
      <c r="B103" t="s">
        <v>146</v>
      </c>
      <c r="C103" s="1" t="s">
        <v>18</v>
      </c>
      <c r="D103" s="1" t="s">
        <v>19</v>
      </c>
    </row>
    <row r="104" spans="1:4">
      <c r="A104" s="1" t="s">
        <v>42</v>
      </c>
      <c r="B104" t="s">
        <v>147</v>
      </c>
      <c r="C104" s="1"/>
      <c r="D104" s="7"/>
    </row>
    <row r="105" spans="1:4">
      <c r="A105" s="1" t="s">
        <v>58</v>
      </c>
      <c r="C105" s="1"/>
      <c r="D105" s="7">
        <f ca="1">SUBTOTAL(109,Submódulo4.2[Valor])</f>
        <v>0</v>
      </c>
    </row>
    <row r="107" spans="1:4">
      <c r="A107" s="190" t="s">
        <v>148</v>
      </c>
      <c r="B107" s="190"/>
      <c r="C107" s="190"/>
      <c r="D107" s="190"/>
    </row>
    <row r="108" spans="1:4">
      <c r="A108" s="1" t="s">
        <v>149</v>
      </c>
      <c r="B108" t="s">
        <v>150</v>
      </c>
      <c r="C108" s="1" t="s">
        <v>18</v>
      </c>
      <c r="D108" s="1" t="s">
        <v>19</v>
      </c>
    </row>
    <row r="109" spans="1:4">
      <c r="A109" s="1" t="s">
        <v>129</v>
      </c>
      <c r="B109" t="s">
        <v>130</v>
      </c>
      <c r="D109" s="7" t="e">
        <f>Submódulo4.1[[#Totals],[Valor]]</f>
        <v>#REF!</v>
      </c>
    </row>
    <row r="110" spans="1:4">
      <c r="A110" s="1" t="s">
        <v>145</v>
      </c>
      <c r="B110" t="s">
        <v>151</v>
      </c>
      <c r="D110" s="7" t="e">
        <f>Submódulo4.2[[#Totals],[Valor]]</f>
        <v>#REF!</v>
      </c>
    </row>
    <row r="111" spans="1:4">
      <c r="A111" s="1" t="s">
        <v>58</v>
      </c>
      <c r="D111" s="7" t="e">
        <f>SUBTOTAL(109,ResumoMódulo4[Valor])</f>
        <v>#REF!</v>
      </c>
    </row>
    <row r="113" spans="1:4">
      <c r="A113" s="191" t="s">
        <v>152</v>
      </c>
      <c r="B113" s="191"/>
      <c r="C113" s="191"/>
      <c r="D113" s="191"/>
    </row>
    <row r="114" spans="1:4">
      <c r="A114" s="1" t="s">
        <v>153</v>
      </c>
      <c r="B114" t="s">
        <v>154</v>
      </c>
      <c r="C114" s="1" t="s">
        <v>18</v>
      </c>
      <c r="D114" s="1" t="s">
        <v>19</v>
      </c>
    </row>
    <row r="115" spans="1:4">
      <c r="A115" s="1" t="s">
        <v>42</v>
      </c>
      <c r="B115" t="s">
        <v>155</v>
      </c>
      <c r="D115" s="7" t="e">
        <f>#REF!</f>
        <v>#REF!</v>
      </c>
    </row>
    <row r="116" spans="1:4">
      <c r="A116" s="1" t="s">
        <v>45</v>
      </c>
      <c r="B116" t="s">
        <v>156</v>
      </c>
      <c r="D116" s="7" t="e">
        <f>#REF!/#REF!</f>
        <v>#REF!</v>
      </c>
    </row>
    <row r="117" spans="1:4">
      <c r="A117" s="1" t="s">
        <v>48</v>
      </c>
      <c r="B117" t="s">
        <v>157</v>
      </c>
      <c r="D117" s="7" t="e">
        <f>#REF!/#REF!</f>
        <v>#REF!</v>
      </c>
    </row>
    <row r="118" spans="1:4">
      <c r="A118" s="1" t="s">
        <v>50</v>
      </c>
      <c r="B118" t="s">
        <v>158</v>
      </c>
      <c r="D118" s="7"/>
    </row>
    <row r="119" spans="1:4">
      <c r="A119" s="1" t="s">
        <v>58</v>
      </c>
      <c r="D119" s="7" t="e">
        <f>SUBTOTAL(109,Módulo5[Valor])</f>
        <v>#REF!</v>
      </c>
    </row>
    <row r="120" spans="1:4">
      <c r="A120" s="1"/>
      <c r="D120" s="7"/>
    </row>
    <row r="121" spans="1:4">
      <c r="A121" s="193" t="s">
        <v>159</v>
      </c>
      <c r="B121" s="193"/>
      <c r="C121" s="193"/>
      <c r="D121" s="193"/>
    </row>
    <row r="122" spans="1:4">
      <c r="A122" s="10" t="s">
        <v>16</v>
      </c>
      <c r="B122" s="10" t="s">
        <v>70</v>
      </c>
      <c r="C122" s="10" t="s">
        <v>71</v>
      </c>
      <c r="D122" s="10" t="s">
        <v>72</v>
      </c>
    </row>
    <row r="123" spans="1:4">
      <c r="A123" s="12" t="s">
        <v>42</v>
      </c>
      <c r="B123" s="13" t="s">
        <v>155</v>
      </c>
      <c r="C123" s="14" t="s">
        <v>160</v>
      </c>
      <c r="D123" s="14"/>
    </row>
    <row r="124" spans="1:4" ht="30">
      <c r="A124" s="12" t="s">
        <v>45</v>
      </c>
      <c r="B124" s="15" t="s">
        <v>156</v>
      </c>
      <c r="C124" s="14" t="s">
        <v>161</v>
      </c>
      <c r="D124" s="14" t="s">
        <v>162</v>
      </c>
    </row>
    <row r="125" spans="1:4" ht="30">
      <c r="A125" s="12" t="s">
        <v>48</v>
      </c>
      <c r="B125" s="15" t="s">
        <v>157</v>
      </c>
      <c r="C125" s="14" t="s">
        <v>163</v>
      </c>
      <c r="D125" s="14" t="s">
        <v>162</v>
      </c>
    </row>
    <row r="126" spans="1:4">
      <c r="A126" s="12" t="s">
        <v>50</v>
      </c>
      <c r="B126" s="15" t="s">
        <v>158</v>
      </c>
      <c r="C126" s="14"/>
      <c r="D126" s="14"/>
    </row>
    <row r="128" spans="1:4">
      <c r="A128" s="191" t="s">
        <v>164</v>
      </c>
      <c r="B128" s="191"/>
      <c r="C128" s="191"/>
      <c r="D128" s="191"/>
    </row>
    <row r="129" spans="1:4" outlineLevel="1">
      <c r="A129" s="1" t="s">
        <v>165</v>
      </c>
      <c r="B129" t="s">
        <v>166</v>
      </c>
      <c r="C129" s="1" t="s">
        <v>38</v>
      </c>
      <c r="D129" s="1" t="s">
        <v>19</v>
      </c>
    </row>
    <row r="130" spans="1:4" outlineLevel="1">
      <c r="A130" s="1" t="s">
        <v>42</v>
      </c>
      <c r="B130" t="s">
        <v>167</v>
      </c>
      <c r="C130" s="17">
        <f>G16</f>
        <v>4.7100000000000003E-2</v>
      </c>
      <c r="D130" s="7" t="e">
        <f>Módulo6[[#This Row],[Percentual]]*(D141+D142+D143+D144+D145)</f>
        <v>#REF!</v>
      </c>
    </row>
    <row r="131" spans="1:4" outlineLevel="1">
      <c r="A131" s="1" t="s">
        <v>45</v>
      </c>
      <c r="B131" t="s">
        <v>59</v>
      </c>
      <c r="C131" s="17">
        <f>G17</f>
        <v>4.6699999999999998E-2</v>
      </c>
      <c r="D131" s="7" t="e">
        <f>(SUM(D141:D145)+D130)*Módulo6[[#This Row],[Percentual]]</f>
        <v>#REF!</v>
      </c>
    </row>
    <row r="132" spans="1:4">
      <c r="A132" s="1" t="s">
        <v>48</v>
      </c>
      <c r="B132" t="s">
        <v>168</v>
      </c>
      <c r="C132" s="17">
        <f>SUM(C133:C135)</f>
        <v>0.14250000000000002</v>
      </c>
      <c r="D132" s="7" t="e">
        <f>Módulo6[[#This Row],[Percentual]]*D148</f>
        <v>#REF!</v>
      </c>
    </row>
    <row r="133" spans="1:4">
      <c r="A133" s="1" t="s">
        <v>169</v>
      </c>
      <c r="B133" t="s">
        <v>60</v>
      </c>
      <c r="C133" s="17">
        <f>G18</f>
        <v>1.6500000000000001E-2</v>
      </c>
      <c r="D133" s="7" t="e">
        <f>Módulo6[[#This Row],[Percentual]]*D148</f>
        <v>#REF!</v>
      </c>
    </row>
    <row r="134" spans="1:4">
      <c r="A134" s="1" t="s">
        <v>170</v>
      </c>
      <c r="B134" t="s">
        <v>62</v>
      </c>
      <c r="C134" s="17">
        <f>G19</f>
        <v>7.5999999999999998E-2</v>
      </c>
      <c r="D134" s="7" t="e">
        <f>Módulo6[[#This Row],[Percentual]]*D148</f>
        <v>#REF!</v>
      </c>
    </row>
    <row r="135" spans="1:4">
      <c r="A135" s="1" t="s">
        <v>171</v>
      </c>
      <c r="B135" t="s">
        <v>64</v>
      </c>
      <c r="C135" s="17">
        <f>G20</f>
        <v>0.05</v>
      </c>
      <c r="D135" s="7" t="e">
        <f>Módulo6[[#This Row],[Percentual]]*D148</f>
        <v>#REF!</v>
      </c>
    </row>
    <row r="136" spans="1:4">
      <c r="A136" s="1" t="s">
        <v>58</v>
      </c>
      <c r="C136" s="1"/>
      <c r="D136" s="7" t="e">
        <f>SUM(D130:D132)</f>
        <v>#REF!</v>
      </c>
    </row>
    <row r="137" spans="1:4">
      <c r="A137" s="1"/>
      <c r="C137" s="1"/>
      <c r="D137" s="7"/>
    </row>
    <row r="139" spans="1:4">
      <c r="A139" s="191" t="s">
        <v>172</v>
      </c>
      <c r="B139" s="191"/>
      <c r="C139" s="191"/>
      <c r="D139" s="191"/>
    </row>
    <row r="140" spans="1:4">
      <c r="A140" s="1" t="s">
        <v>16</v>
      </c>
      <c r="B140" s="1" t="s">
        <v>173</v>
      </c>
      <c r="C140" s="1" t="s">
        <v>102</v>
      </c>
      <c r="D140" s="1" t="s">
        <v>19</v>
      </c>
    </row>
    <row r="141" spans="1:4">
      <c r="A141" s="1" t="s">
        <v>42</v>
      </c>
      <c r="B141" t="s">
        <v>36</v>
      </c>
      <c r="D141" s="7" t="e">
        <f>Módulo1[[#Totals],[Valor]]</f>
        <v>#REF!</v>
      </c>
    </row>
    <row r="142" spans="1:4">
      <c r="A142" s="1" t="s">
        <v>45</v>
      </c>
      <c r="B142" t="s">
        <v>61</v>
      </c>
      <c r="D142" s="7" t="e">
        <f>ResumoMódulo2[[#Totals],[Valor]]</f>
        <v>#REF!</v>
      </c>
    </row>
    <row r="143" spans="1:4">
      <c r="A143" s="1" t="s">
        <v>48</v>
      </c>
      <c r="B143" t="s">
        <v>108</v>
      </c>
      <c r="D143" s="7" t="e">
        <f>Módulo3[[#Totals],[Valor]]</f>
        <v>#REF!</v>
      </c>
    </row>
    <row r="144" spans="1:4">
      <c r="A144" s="1" t="s">
        <v>50</v>
      </c>
      <c r="B144" t="s">
        <v>174</v>
      </c>
      <c r="D144" s="7" t="e">
        <f>ResumoMódulo4[[#Totals],[Valor]]</f>
        <v>#REF!</v>
      </c>
    </row>
    <row r="145" spans="1:4">
      <c r="A145" s="1" t="s">
        <v>53</v>
      </c>
      <c r="B145" t="s">
        <v>152</v>
      </c>
      <c r="D145" s="7" t="e">
        <f>Módulo5[[#Totals],[Valor]]</f>
        <v>#REF!</v>
      </c>
    </row>
    <row r="146" spans="1:4">
      <c r="A146" t="s">
        <v>175</v>
      </c>
      <c r="D146" s="7" t="e">
        <f>SUM(D141:D145)</f>
        <v>#REF!</v>
      </c>
    </row>
    <row r="147" spans="1:4">
      <c r="A147" s="1" t="s">
        <v>55</v>
      </c>
      <c r="B147" t="s">
        <v>164</v>
      </c>
      <c r="D147" s="7" t="e">
        <f>Módulo6[[#Totals],[Valor]]</f>
        <v>#REF!</v>
      </c>
    </row>
    <row r="148" spans="1:4">
      <c r="A148" s="20" t="s">
        <v>176</v>
      </c>
      <c r="B148" s="20"/>
      <c r="C148" s="20"/>
      <c r="D148" s="21" t="e">
        <f>(SUM(D141:D145)+D130+D131)/(100%-C132)</f>
        <v>#REF!</v>
      </c>
    </row>
  </sheetData>
  <mergeCells count="24">
    <mergeCell ref="A113:D113"/>
    <mergeCell ref="A121:D121"/>
    <mergeCell ref="A128:D128"/>
    <mergeCell ref="A139:D139"/>
    <mergeCell ref="A86:D86"/>
    <mergeCell ref="A87:D87"/>
    <mergeCell ref="A97:D97"/>
    <mergeCell ref="A102:D102"/>
    <mergeCell ref="A107:D107"/>
    <mergeCell ref="A47:D47"/>
    <mergeCell ref="A55:D55"/>
    <mergeCell ref="A60:D60"/>
    <mergeCell ref="A67:D67"/>
    <mergeCell ref="A77:D77"/>
    <mergeCell ref="A19:D19"/>
    <mergeCell ref="A20:D20"/>
    <mergeCell ref="A26:D26"/>
    <mergeCell ref="A31:D31"/>
    <mergeCell ref="A43:D43"/>
    <mergeCell ref="A1:D1"/>
    <mergeCell ref="F1:G1"/>
    <mergeCell ref="F8:G8"/>
    <mergeCell ref="A9:D9"/>
    <mergeCell ref="F14:G14"/>
  </mergeCells>
  <pageMargins left="0.7" right="0.7" top="0.75" bottom="0.75" header="0.511811023622047" footer="0.511811023622047"/>
  <pageSetup paperSize="9" scale="44" fitToHeight="0" orientation="portrait" horizontalDpi="300" verticalDpi="300" r:id="rId1"/>
  <legacyDrawing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5"/>
  <sheetViews>
    <sheetView view="pageBreakPreview" zoomScale="90" zoomScaleNormal="90" zoomScaleSheetLayoutView="90" zoomScalePageLayoutView="80" workbookViewId="0">
      <selection activeCell="B9" sqref="B9"/>
    </sheetView>
  </sheetViews>
  <sheetFormatPr defaultColWidth="9.140625" defaultRowHeight="15"/>
  <cols>
    <col min="1" max="1" width="8.28515625" customWidth="1"/>
    <col min="2" max="2" width="62.28515625" customWidth="1"/>
    <col min="3" max="3" width="13" customWidth="1"/>
    <col min="4" max="4" width="12.5703125" customWidth="1"/>
    <col min="5" max="5" width="11.140625" customWidth="1"/>
    <col min="6" max="6" width="21.140625" customWidth="1"/>
    <col min="7" max="7" width="29.28515625" customWidth="1"/>
    <col min="8" max="8" width="11.7109375" customWidth="1"/>
    <col min="9" max="9" width="14.140625" customWidth="1"/>
    <col min="10" max="10" width="21.7109375" customWidth="1"/>
    <col min="12" max="12" width="16.140625" customWidth="1"/>
    <col min="13" max="13" width="12.85546875" customWidth="1"/>
  </cols>
  <sheetData>
    <row r="1" spans="1:10" ht="40.5" customHeight="1">
      <c r="A1" s="195" t="s">
        <v>177</v>
      </c>
      <c r="B1" s="195"/>
      <c r="C1" s="195"/>
      <c r="D1" s="195"/>
      <c r="E1" s="195"/>
      <c r="F1" s="195"/>
      <c r="G1" s="195"/>
    </row>
    <row r="2" spans="1:10" ht="54">
      <c r="A2" s="22" t="s">
        <v>16</v>
      </c>
      <c r="B2" s="22" t="s">
        <v>17</v>
      </c>
      <c r="C2" s="22" t="s">
        <v>178</v>
      </c>
      <c r="D2" s="22" t="s">
        <v>179</v>
      </c>
      <c r="E2" s="22" t="s">
        <v>180</v>
      </c>
      <c r="F2" s="22" t="s">
        <v>181</v>
      </c>
      <c r="G2" s="22" t="s">
        <v>182</v>
      </c>
    </row>
    <row r="3" spans="1:10" ht="75" customHeight="1">
      <c r="A3" s="23">
        <v>1</v>
      </c>
      <c r="B3" s="24" t="s">
        <v>183</v>
      </c>
      <c r="C3" s="22" t="s">
        <v>184</v>
      </c>
      <c r="D3" s="23">
        <v>1</v>
      </c>
      <c r="E3" s="23">
        <v>12</v>
      </c>
      <c r="F3" s="25">
        <f>Pedreiro!D148</f>
        <v>4653.24</v>
      </c>
      <c r="G3" s="25">
        <f t="shared" ref="G3:G12" si="0">((F3*D3)*(E3))</f>
        <v>55838.879999999997</v>
      </c>
    </row>
    <row r="4" spans="1:10" ht="79.5" customHeight="1">
      <c r="A4" s="23">
        <v>2</v>
      </c>
      <c r="B4" s="24" t="s">
        <v>456</v>
      </c>
      <c r="C4" s="22" t="s">
        <v>184</v>
      </c>
      <c r="D4" s="23">
        <v>1</v>
      </c>
      <c r="E4" s="23">
        <v>12</v>
      </c>
      <c r="F4" s="25">
        <f>Eletricista!D148</f>
        <v>5826.64</v>
      </c>
      <c r="G4" s="25">
        <f t="shared" si="0"/>
        <v>69919.680000000008</v>
      </c>
    </row>
    <row r="5" spans="1:10" ht="78.75" customHeight="1">
      <c r="A5" s="23">
        <v>3</v>
      </c>
      <c r="B5" s="24" t="s">
        <v>185</v>
      </c>
      <c r="C5" s="22" t="s">
        <v>184</v>
      </c>
      <c r="D5" s="23">
        <v>1</v>
      </c>
      <c r="E5" s="23">
        <v>12</v>
      </c>
      <c r="F5" s="25">
        <f>Pintor!D148</f>
        <v>4653.24</v>
      </c>
      <c r="G5" s="25">
        <f t="shared" si="0"/>
        <v>55838.879999999997</v>
      </c>
    </row>
    <row r="6" spans="1:10" ht="88.5" customHeight="1">
      <c r="A6" s="23">
        <v>4</v>
      </c>
      <c r="B6" s="24" t="s">
        <v>448</v>
      </c>
      <c r="C6" s="22" t="s">
        <v>184</v>
      </c>
      <c r="D6" s="23">
        <v>1</v>
      </c>
      <c r="E6" s="23">
        <v>12</v>
      </c>
      <c r="F6" s="25">
        <f>'Técnico em Manutenção'!D148</f>
        <v>5826.64</v>
      </c>
      <c r="G6" s="25">
        <f t="shared" si="0"/>
        <v>69919.680000000008</v>
      </c>
    </row>
    <row r="7" spans="1:10" ht="69.75" customHeight="1">
      <c r="A7" s="23">
        <v>5</v>
      </c>
      <c r="B7" s="24" t="s">
        <v>186</v>
      </c>
      <c r="C7" s="22" t="s">
        <v>184</v>
      </c>
      <c r="D7" s="23">
        <v>1</v>
      </c>
      <c r="E7" s="23">
        <v>12</v>
      </c>
      <c r="F7" s="25">
        <f>Piscineiro!D148</f>
        <v>3785.62</v>
      </c>
      <c r="G7" s="25">
        <f t="shared" si="0"/>
        <v>45427.44</v>
      </c>
    </row>
    <row r="8" spans="1:10" ht="72" customHeight="1">
      <c r="A8" s="23">
        <v>6</v>
      </c>
      <c r="B8" s="24" t="s">
        <v>458</v>
      </c>
      <c r="C8" s="22" t="s">
        <v>184</v>
      </c>
      <c r="D8" s="23">
        <v>1</v>
      </c>
      <c r="E8" s="23">
        <v>12</v>
      </c>
      <c r="F8" s="25">
        <f>Jardineiro!D148</f>
        <v>3785.62</v>
      </c>
      <c r="G8" s="25">
        <f t="shared" si="0"/>
        <v>45427.44</v>
      </c>
    </row>
    <row r="9" spans="1:10" ht="74.25" customHeight="1">
      <c r="A9" s="23">
        <v>7</v>
      </c>
      <c r="B9" s="24" t="s">
        <v>187</v>
      </c>
      <c r="C9" s="22" t="s">
        <v>184</v>
      </c>
      <c r="D9" s="23">
        <v>8</v>
      </c>
      <c r="E9" s="23">
        <v>12</v>
      </c>
      <c r="F9" s="25">
        <f>Cozinheira!D148</f>
        <v>3785.62</v>
      </c>
      <c r="G9" s="25">
        <f t="shared" si="0"/>
        <v>363419.52</v>
      </c>
    </row>
    <row r="10" spans="1:10" ht="84" customHeight="1">
      <c r="A10" s="23">
        <v>8</v>
      </c>
      <c r="B10" s="24" t="s">
        <v>188</v>
      </c>
      <c r="C10" s="22" t="s">
        <v>184</v>
      </c>
      <c r="D10" s="23">
        <v>3</v>
      </c>
      <c r="E10" s="23">
        <v>12</v>
      </c>
      <c r="F10" s="25">
        <f>'Auxiliar de Cozinha'!D148</f>
        <v>3761.87</v>
      </c>
      <c r="G10" s="25">
        <f t="shared" si="0"/>
        <v>135427.32</v>
      </c>
    </row>
    <row r="11" spans="1:10" ht="75" customHeight="1">
      <c r="A11" s="23">
        <v>9</v>
      </c>
      <c r="B11" s="24" t="s">
        <v>189</v>
      </c>
      <c r="C11" s="22" t="s">
        <v>184</v>
      </c>
      <c r="D11" s="23">
        <v>5</v>
      </c>
      <c r="E11" s="23">
        <v>12</v>
      </c>
      <c r="F11" s="25">
        <f>Recepcionista!D148</f>
        <v>3785.62</v>
      </c>
      <c r="G11" s="25">
        <f t="shared" si="0"/>
        <v>227137.19999999998</v>
      </c>
    </row>
    <row r="12" spans="1:10" ht="88.5" customHeight="1">
      <c r="A12" s="23">
        <v>10</v>
      </c>
      <c r="B12" s="24" t="s">
        <v>457</v>
      </c>
      <c r="C12" s="22" t="s">
        <v>184</v>
      </c>
      <c r="D12" s="23">
        <v>2</v>
      </c>
      <c r="E12" s="23">
        <v>12</v>
      </c>
      <c r="F12" s="25">
        <f>'Motorista Interestadual'!D148</f>
        <v>7807.85</v>
      </c>
      <c r="G12" s="25">
        <f t="shared" si="0"/>
        <v>187388.40000000002</v>
      </c>
      <c r="J12" s="26"/>
    </row>
    <row r="13" spans="1:10" ht="31.5" customHeight="1">
      <c r="A13" s="23">
        <v>11</v>
      </c>
      <c r="B13" s="24" t="s">
        <v>190</v>
      </c>
      <c r="C13" s="22" t="s">
        <v>191</v>
      </c>
      <c r="D13" s="23">
        <v>10</v>
      </c>
      <c r="E13" s="23">
        <v>12</v>
      </c>
      <c r="F13" s="25">
        <f>'Diárias Nacionais Motorista'!E19</f>
        <v>214.57</v>
      </c>
      <c r="G13" s="25">
        <f>((F13*D13)*(E13))</f>
        <v>25748.399999999998</v>
      </c>
      <c r="J13" s="26"/>
    </row>
    <row r="14" spans="1:10" ht="26.25" customHeight="1">
      <c r="A14" s="27"/>
      <c r="B14" s="27" t="s">
        <v>192</v>
      </c>
      <c r="C14" s="27"/>
      <c r="D14" s="27"/>
      <c r="E14" s="27"/>
      <c r="F14" s="28"/>
      <c r="G14" s="25">
        <f>SUM(G3:G13)</f>
        <v>1281492.8399999999</v>
      </c>
    </row>
    <row r="15" spans="1:10" ht="26.1" customHeight="1">
      <c r="A15" s="29"/>
      <c r="B15" s="30" t="s">
        <v>193</v>
      </c>
      <c r="C15" s="29"/>
      <c r="D15" s="29"/>
      <c r="E15" s="29"/>
      <c r="F15" s="29"/>
      <c r="G15" s="31">
        <f>G14/12</f>
        <v>106791.06999999999</v>
      </c>
    </row>
  </sheetData>
  <mergeCells count="1">
    <mergeCell ref="A1:G1"/>
  </mergeCells>
  <pageMargins left="0.25" right="0.25" top="0.75" bottom="0.75" header="0.511811023622047" footer="0.511811023622047"/>
  <pageSetup paperSize="9" scale="63" fitToHeight="0"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K148"/>
  <sheetViews>
    <sheetView tabSelected="1" view="pageBreakPreview" zoomScaleNormal="80" workbookViewId="0">
      <selection activeCell="B152" sqref="B152"/>
    </sheetView>
  </sheetViews>
  <sheetFormatPr defaultColWidth="9.140625" defaultRowHeight="15"/>
  <cols>
    <col min="1" max="1" width="12" style="16" customWidth="1"/>
    <col min="2" max="2" width="50.28515625" customWidth="1"/>
    <col min="3" max="3" width="32.28515625" customWidth="1"/>
    <col min="4" max="4" width="41" customWidth="1"/>
    <col min="6" max="7" width="11.5703125" hidden="1" customWidth="1"/>
    <col min="8" max="8" width="22.85546875" customWidth="1"/>
    <col min="9" max="9" width="15.5703125" customWidth="1"/>
    <col min="11" max="11" width="11.42578125" customWidth="1"/>
  </cols>
  <sheetData>
    <row r="2" spans="1:9" ht="18.75">
      <c r="A2" s="196" t="s">
        <v>194</v>
      </c>
      <c r="B2" s="196"/>
      <c r="C2" s="196"/>
      <c r="D2" s="196"/>
    </row>
    <row r="3" spans="1:9" ht="15" customHeight="1">
      <c r="A3" s="197" t="s">
        <v>449</v>
      </c>
      <c r="B3" s="197"/>
      <c r="C3" s="197"/>
      <c r="D3" s="197"/>
    </row>
    <row r="4" spans="1:9">
      <c r="A4" s="32" t="s">
        <v>195</v>
      </c>
      <c r="B4" s="33" t="s">
        <v>392</v>
      </c>
      <c r="C4" s="34"/>
      <c r="D4" s="34"/>
    </row>
    <row r="5" spans="1:9">
      <c r="A5" s="35"/>
      <c r="B5" s="36"/>
      <c r="C5" s="36"/>
      <c r="D5" s="36"/>
    </row>
    <row r="6" spans="1:9">
      <c r="A6" s="198" t="s">
        <v>196</v>
      </c>
      <c r="B6" s="198"/>
      <c r="C6" s="198"/>
      <c r="D6" s="198"/>
    </row>
    <row r="7" spans="1:9">
      <c r="A7" s="37" t="s">
        <v>42</v>
      </c>
      <c r="B7" s="38" t="s">
        <v>197</v>
      </c>
      <c r="C7" s="199" t="s">
        <v>393</v>
      </c>
      <c r="D7" s="199"/>
    </row>
    <row r="8" spans="1:9">
      <c r="A8" s="39" t="s">
        <v>45</v>
      </c>
      <c r="B8" s="40" t="s">
        <v>199</v>
      </c>
      <c r="C8" s="200" t="s">
        <v>200</v>
      </c>
      <c r="D8" s="200"/>
    </row>
    <row r="9" spans="1:9">
      <c r="A9" s="42" t="s">
        <v>48</v>
      </c>
      <c r="B9" s="43" t="s">
        <v>201</v>
      </c>
      <c r="C9" s="201" t="s">
        <v>445</v>
      </c>
      <c r="D9" s="200"/>
    </row>
    <row r="10" spans="1:9">
      <c r="A10" s="39" t="s">
        <v>53</v>
      </c>
      <c r="B10" s="40" t="s">
        <v>202</v>
      </c>
      <c r="C10" s="200" t="s">
        <v>203</v>
      </c>
      <c r="D10" s="200"/>
    </row>
    <row r="11" spans="1:9">
      <c r="A11" s="202" t="s">
        <v>204</v>
      </c>
      <c r="B11" s="202"/>
      <c r="C11" s="202"/>
      <c r="D11" s="202"/>
    </row>
    <row r="12" spans="1:9" ht="15" customHeight="1">
      <c r="A12" s="203" t="s">
        <v>205</v>
      </c>
      <c r="B12" s="203"/>
      <c r="C12" s="44" t="s">
        <v>206</v>
      </c>
      <c r="D12" s="45" t="s">
        <v>207</v>
      </c>
    </row>
    <row r="13" spans="1:9">
      <c r="A13" s="204" t="s">
        <v>208</v>
      </c>
      <c r="B13" s="204"/>
      <c r="C13" s="41" t="s">
        <v>209</v>
      </c>
      <c r="D13" s="46">
        <f>RESUMO!D3</f>
        <v>1</v>
      </c>
    </row>
    <row r="14" spans="1:9">
      <c r="A14" s="205"/>
      <c r="B14" s="205"/>
      <c r="C14" s="41"/>
      <c r="D14" s="47"/>
    </row>
    <row r="15" spans="1:9">
      <c r="A15" s="202" t="s">
        <v>14</v>
      </c>
      <c r="B15" s="202"/>
      <c r="C15" s="202"/>
      <c r="D15" s="202"/>
      <c r="H15" s="190"/>
      <c r="I15" s="190"/>
    </row>
    <row r="16" spans="1:9">
      <c r="A16" s="12" t="s">
        <v>16</v>
      </c>
      <c r="B16" t="s">
        <v>17</v>
      </c>
      <c r="C16" s="1" t="s">
        <v>18</v>
      </c>
      <c r="D16" s="1" t="s">
        <v>19</v>
      </c>
    </row>
    <row r="17" spans="1:9">
      <c r="A17" s="12">
        <v>1</v>
      </c>
      <c r="B17" t="s">
        <v>20</v>
      </c>
      <c r="C17" s="4" t="s">
        <v>102</v>
      </c>
      <c r="D17" s="4" t="str">
        <f>A13</f>
        <v>Pedreiro</v>
      </c>
    </row>
    <row r="18" spans="1:9">
      <c r="A18" s="12">
        <v>2</v>
      </c>
      <c r="B18" t="s">
        <v>23</v>
      </c>
      <c r="C18" s="4" t="s">
        <v>210</v>
      </c>
      <c r="D18" s="4" t="s">
        <v>211</v>
      </c>
    </row>
    <row r="19" spans="1:9">
      <c r="A19" s="12">
        <v>3</v>
      </c>
      <c r="B19" t="s">
        <v>26</v>
      </c>
      <c r="C19" s="48" t="str">
        <f>C9</f>
        <v>CCT PB000113/2025</v>
      </c>
      <c r="D19" s="49">
        <v>1974.81</v>
      </c>
    </row>
    <row r="20" spans="1:9">
      <c r="A20" s="12">
        <v>4</v>
      </c>
      <c r="B20" t="s">
        <v>29</v>
      </c>
      <c r="C20" s="48" t="str">
        <f>C9</f>
        <v>CCT PB000113/2025</v>
      </c>
      <c r="D20" s="4" t="s">
        <v>212</v>
      </c>
    </row>
    <row r="21" spans="1:9">
      <c r="A21" s="12">
        <v>5</v>
      </c>
      <c r="B21" t="s">
        <v>33</v>
      </c>
      <c r="C21" s="48" t="str">
        <f>C9</f>
        <v>CCT PB000113/2025</v>
      </c>
      <c r="D21" s="50" t="s">
        <v>213</v>
      </c>
    </row>
    <row r="22" spans="1:9">
      <c r="H22" s="190"/>
      <c r="I22" s="190"/>
    </row>
    <row r="23" spans="1:9">
      <c r="A23" s="198" t="s">
        <v>36</v>
      </c>
      <c r="B23" s="198"/>
      <c r="C23" s="198"/>
      <c r="D23" s="198"/>
    </row>
    <row r="24" spans="1:9">
      <c r="A24" s="12" t="s">
        <v>39</v>
      </c>
      <c r="B24" t="s">
        <v>40</v>
      </c>
      <c r="C24" s="1" t="s">
        <v>18</v>
      </c>
      <c r="D24" s="1" t="s">
        <v>19</v>
      </c>
      <c r="I24" s="6"/>
    </row>
    <row r="25" spans="1:9">
      <c r="A25" s="12" t="s">
        <v>42</v>
      </c>
      <c r="B25" t="s">
        <v>43</v>
      </c>
      <c r="C25" s="4" t="s">
        <v>214</v>
      </c>
      <c r="D25" s="49">
        <f>D19</f>
        <v>1974.81</v>
      </c>
      <c r="I25" s="6"/>
    </row>
    <row r="26" spans="1:9">
      <c r="A26" s="12" t="s">
        <v>45</v>
      </c>
      <c r="B26" t="s">
        <v>215</v>
      </c>
      <c r="C26" s="4"/>
      <c r="D26" s="49">
        <v>0</v>
      </c>
      <c r="I26" s="6"/>
    </row>
    <row r="27" spans="1:9">
      <c r="A27" s="12" t="s">
        <v>48</v>
      </c>
      <c r="B27" t="s">
        <v>216</v>
      </c>
      <c r="C27" s="4"/>
      <c r="D27" s="49">
        <v>0</v>
      </c>
    </row>
    <row r="28" spans="1:9">
      <c r="A28" s="12" t="s">
        <v>50</v>
      </c>
      <c r="B28" t="s">
        <v>51</v>
      </c>
      <c r="C28" s="4"/>
      <c r="D28" s="49">
        <v>0</v>
      </c>
    </row>
    <row r="29" spans="1:9">
      <c r="A29" s="12" t="s">
        <v>53</v>
      </c>
      <c r="B29" t="s">
        <v>54</v>
      </c>
      <c r="C29" s="4"/>
      <c r="D29" s="49">
        <v>0</v>
      </c>
    </row>
    <row r="30" spans="1:9">
      <c r="A30" s="12" t="s">
        <v>55</v>
      </c>
      <c r="B30" t="s">
        <v>56</v>
      </c>
      <c r="C30" s="4"/>
      <c r="D30" s="49">
        <v>0</v>
      </c>
    </row>
    <row r="31" spans="1:9">
      <c r="A31" s="12" t="s">
        <v>58</v>
      </c>
      <c r="C31" s="1"/>
      <c r="D31" s="7">
        <f>TRUNC((SUM(D25:D30)),2)</f>
        <v>1974.81</v>
      </c>
      <c r="H31" s="190"/>
      <c r="I31" s="190"/>
    </row>
    <row r="32" spans="1:9">
      <c r="B32" s="51" t="s">
        <v>217</v>
      </c>
    </row>
    <row r="33" spans="1:9">
      <c r="A33" s="206" t="s">
        <v>61</v>
      </c>
      <c r="B33" s="206"/>
      <c r="C33" s="206"/>
      <c r="D33" s="206"/>
      <c r="I33" s="6"/>
    </row>
    <row r="35" spans="1:9">
      <c r="A35" s="193" t="s">
        <v>63</v>
      </c>
      <c r="B35" s="193"/>
      <c r="C35" s="193"/>
      <c r="D35" s="193"/>
    </row>
    <row r="36" spans="1:9">
      <c r="A36" s="12" t="s">
        <v>65</v>
      </c>
      <c r="B36" t="s">
        <v>66</v>
      </c>
      <c r="C36" s="1" t="s">
        <v>38</v>
      </c>
      <c r="D36" s="1" t="s">
        <v>19</v>
      </c>
    </row>
    <row r="37" spans="1:9">
      <c r="A37" s="12" t="s">
        <v>42</v>
      </c>
      <c r="B37" t="s">
        <v>67</v>
      </c>
      <c r="C37" s="17">
        <f>(1/12)</f>
        <v>8.3333333333333329E-2</v>
      </c>
      <c r="D37" s="7">
        <f>TRUNC($D$31*C37,2)</f>
        <v>164.56</v>
      </c>
    </row>
    <row r="38" spans="1:9">
      <c r="A38" s="12" t="s">
        <v>45</v>
      </c>
      <c r="B38" t="s">
        <v>68</v>
      </c>
      <c r="C38" s="17">
        <f>(((1+1/3)/12))</f>
        <v>0.1111111111111111</v>
      </c>
      <c r="D38" s="7">
        <f>TRUNC($D$31*C38,2)</f>
        <v>219.42</v>
      </c>
    </row>
    <row r="39" spans="1:9">
      <c r="A39" s="12" t="s">
        <v>58</v>
      </c>
      <c r="D39" s="7">
        <f>TRUNC((SUM(D37:D38)),2)</f>
        <v>383.98</v>
      </c>
    </row>
    <row r="40" spans="1:9">
      <c r="D40" s="7"/>
    </row>
    <row r="41" spans="1:9">
      <c r="A41" s="206" t="s">
        <v>218</v>
      </c>
      <c r="B41" s="206"/>
      <c r="C41" s="52" t="s">
        <v>219</v>
      </c>
      <c r="D41" s="53">
        <f>D31</f>
        <v>1974.81</v>
      </c>
    </row>
    <row r="42" spans="1:9">
      <c r="A42" s="206"/>
      <c r="B42" s="206"/>
      <c r="C42" s="54" t="s">
        <v>220</v>
      </c>
      <c r="D42" s="53">
        <f>D39</f>
        <v>383.98</v>
      </c>
    </row>
    <row r="43" spans="1:9">
      <c r="A43" s="206"/>
      <c r="B43" s="206"/>
      <c r="C43" s="52" t="s">
        <v>221</v>
      </c>
      <c r="D43" s="55">
        <f>TRUNC((SUM(D41:D42)),2)</f>
        <v>2358.79</v>
      </c>
    </row>
    <row r="44" spans="1:9">
      <c r="A44" s="12"/>
      <c r="C44" s="18"/>
      <c r="D44" s="7"/>
    </row>
    <row r="45" spans="1:9">
      <c r="A45" s="193" t="s">
        <v>77</v>
      </c>
      <c r="B45" s="193"/>
      <c r="C45" s="193"/>
      <c r="D45" s="193"/>
    </row>
    <row r="46" spans="1:9">
      <c r="A46" s="12" t="s">
        <v>78</v>
      </c>
      <c r="B46" t="s">
        <v>79</v>
      </c>
      <c r="C46" s="1" t="s">
        <v>38</v>
      </c>
      <c r="D46" s="1" t="s">
        <v>80</v>
      </c>
    </row>
    <row r="47" spans="1:9">
      <c r="A47" s="12" t="s">
        <v>42</v>
      </c>
      <c r="B47" t="s">
        <v>81</v>
      </c>
      <c r="C47" s="17">
        <v>0.2</v>
      </c>
      <c r="D47" s="7">
        <f t="shared" ref="D47:D54" si="0">TRUNC(($D$43*C47),2)</f>
        <v>471.75</v>
      </c>
    </row>
    <row r="48" spans="1:9">
      <c r="A48" s="12" t="s">
        <v>45</v>
      </c>
      <c r="B48" t="s">
        <v>82</v>
      </c>
      <c r="C48" s="17">
        <v>2.5000000000000001E-2</v>
      </c>
      <c r="D48" s="7">
        <f t="shared" si="0"/>
        <v>58.96</v>
      </c>
    </row>
    <row r="49" spans="1:8">
      <c r="A49" s="12" t="s">
        <v>48</v>
      </c>
      <c r="B49" t="s">
        <v>222</v>
      </c>
      <c r="C49" s="56">
        <v>0</v>
      </c>
      <c r="D49" s="49">
        <f t="shared" si="0"/>
        <v>0</v>
      </c>
    </row>
    <row r="50" spans="1:8">
      <c r="A50" s="12" t="s">
        <v>50</v>
      </c>
      <c r="B50" t="s">
        <v>84</v>
      </c>
      <c r="C50" s="17">
        <v>1.4999999999999999E-2</v>
      </c>
      <c r="D50" s="7">
        <f t="shared" si="0"/>
        <v>35.380000000000003</v>
      </c>
    </row>
    <row r="51" spans="1:8">
      <c r="A51" s="12" t="s">
        <v>53</v>
      </c>
      <c r="B51" t="s">
        <v>85</v>
      </c>
      <c r="C51" s="17">
        <v>0.01</v>
      </c>
      <c r="D51" s="7">
        <f t="shared" si="0"/>
        <v>23.58</v>
      </c>
    </row>
    <row r="52" spans="1:8">
      <c r="A52" s="12" t="s">
        <v>55</v>
      </c>
      <c r="B52" t="s">
        <v>86</v>
      </c>
      <c r="C52" s="17">
        <v>6.0000000000000001E-3</v>
      </c>
      <c r="D52" s="7">
        <f t="shared" si="0"/>
        <v>14.15</v>
      </c>
    </row>
    <row r="53" spans="1:8">
      <c r="A53" s="12" t="s">
        <v>87</v>
      </c>
      <c r="B53" t="s">
        <v>88</v>
      </c>
      <c r="C53" s="17">
        <v>2E-3</v>
      </c>
      <c r="D53" s="7">
        <f t="shared" si="0"/>
        <v>4.71</v>
      </c>
    </row>
    <row r="54" spans="1:8">
      <c r="A54" s="12" t="s">
        <v>89</v>
      </c>
      <c r="B54" t="s">
        <v>90</v>
      </c>
      <c r="C54" s="17">
        <v>0.08</v>
      </c>
      <c r="D54" s="7">
        <f t="shared" si="0"/>
        <v>188.7</v>
      </c>
    </row>
    <row r="55" spans="1:8">
      <c r="A55" s="12" t="s">
        <v>58</v>
      </c>
      <c r="C55" s="18">
        <f>SUM(C47:C54)</f>
        <v>0.33800000000000002</v>
      </c>
      <c r="D55" s="7">
        <f>TRUNC(SUM(D47:D54),2)</f>
        <v>797.23</v>
      </c>
    </row>
    <row r="56" spans="1:8">
      <c r="A56" s="12"/>
      <c r="C56" s="18"/>
      <c r="D56" s="7"/>
    </row>
    <row r="57" spans="1:8">
      <c r="A57" s="193" t="s">
        <v>95</v>
      </c>
      <c r="B57" s="193"/>
      <c r="C57" s="193"/>
      <c r="D57" s="193"/>
    </row>
    <row r="58" spans="1:8">
      <c r="A58" s="12" t="s">
        <v>96</v>
      </c>
      <c r="B58" t="s">
        <v>97</v>
      </c>
      <c r="C58" s="1" t="s">
        <v>18</v>
      </c>
      <c r="D58" s="1" t="s">
        <v>19</v>
      </c>
    </row>
    <row r="59" spans="1:8">
      <c r="A59" s="12" t="s">
        <v>42</v>
      </c>
      <c r="B59" t="s">
        <v>98</v>
      </c>
      <c r="C59" s="4"/>
      <c r="D59" s="49">
        <v>0</v>
      </c>
    </row>
    <row r="60" spans="1:8">
      <c r="A60" s="12" t="s">
        <v>45</v>
      </c>
      <c r="B60" t="s">
        <v>99</v>
      </c>
      <c r="C60" s="4" t="str">
        <f>C9</f>
        <v>CCT PB000113/2025</v>
      </c>
      <c r="D60" s="49">
        <f>TRUNC(600-(600*10%),2)</f>
        <v>540</v>
      </c>
    </row>
    <row r="61" spans="1:8">
      <c r="A61" s="12" t="s">
        <v>48</v>
      </c>
      <c r="B61" t="s">
        <v>100</v>
      </c>
      <c r="C61" s="4"/>
      <c r="D61" s="49">
        <v>0</v>
      </c>
    </row>
    <row r="62" spans="1:8">
      <c r="A62" s="12" t="s">
        <v>50</v>
      </c>
      <c r="B62" s="57" t="s">
        <v>223</v>
      </c>
      <c r="C62" s="58"/>
      <c r="D62" s="58">
        <v>0</v>
      </c>
      <c r="H62" s="16"/>
    </row>
    <row r="63" spans="1:8">
      <c r="A63" s="12" t="s">
        <v>53</v>
      </c>
      <c r="B63" t="s">
        <v>224</v>
      </c>
      <c r="C63" s="4" t="str">
        <f>C60</f>
        <v>CCT PB000113/2025</v>
      </c>
      <c r="D63" s="49">
        <v>25</v>
      </c>
    </row>
    <row r="64" spans="1:8">
      <c r="A64" s="12" t="s">
        <v>55</v>
      </c>
      <c r="B64" s="59" t="s">
        <v>225</v>
      </c>
      <c r="C64" s="4" t="str">
        <f>C9</f>
        <v>CCT PB000113/2025</v>
      </c>
      <c r="D64" s="49">
        <v>6</v>
      </c>
    </row>
    <row r="65" spans="1:4">
      <c r="A65" s="12" t="s">
        <v>87</v>
      </c>
      <c r="B65" s="59" t="s">
        <v>226</v>
      </c>
      <c r="C65" s="58" t="str">
        <f>C60</f>
        <v>CCT PB000113/2025</v>
      </c>
      <c r="D65" s="49">
        <v>50</v>
      </c>
    </row>
    <row r="66" spans="1:4">
      <c r="A66" s="12" t="s">
        <v>58</v>
      </c>
      <c r="D66" s="7">
        <f>TRUNC((SUM(D59:D65)),2)</f>
        <v>621</v>
      </c>
    </row>
    <row r="67" spans="1:4">
      <c r="A67" s="12"/>
      <c r="D67" s="7"/>
    </row>
    <row r="68" spans="1:4">
      <c r="A68" s="193" t="s">
        <v>105</v>
      </c>
      <c r="B68" s="193"/>
      <c r="C68" s="193"/>
      <c r="D68" s="193"/>
    </row>
    <row r="69" spans="1:4">
      <c r="A69" s="12" t="s">
        <v>106</v>
      </c>
      <c r="B69" t="s">
        <v>107</v>
      </c>
      <c r="C69" s="1" t="s">
        <v>18</v>
      </c>
      <c r="D69" s="1" t="s">
        <v>19</v>
      </c>
    </row>
    <row r="70" spans="1:4">
      <c r="A70" s="12" t="s">
        <v>65</v>
      </c>
      <c r="B70" t="s">
        <v>66</v>
      </c>
      <c r="C70" s="1"/>
      <c r="D70" s="7">
        <f>D39</f>
        <v>383.98</v>
      </c>
    </row>
    <row r="71" spans="1:4">
      <c r="A71" s="12" t="s">
        <v>78</v>
      </c>
      <c r="B71" t="s">
        <v>79</v>
      </c>
      <c r="C71" s="1"/>
      <c r="D71" s="7">
        <f>D55</f>
        <v>797.23</v>
      </c>
    </row>
    <row r="72" spans="1:4">
      <c r="A72" s="12" t="s">
        <v>96</v>
      </c>
      <c r="B72" t="s">
        <v>97</v>
      </c>
      <c r="C72" s="1"/>
      <c r="D72" s="7">
        <f>D66</f>
        <v>621</v>
      </c>
    </row>
    <row r="73" spans="1:4">
      <c r="A73" s="12" t="s">
        <v>58</v>
      </c>
      <c r="C73" s="1"/>
      <c r="D73" s="7">
        <f>TRUNC((SUM(D70:D72)),2)</f>
        <v>1802.21</v>
      </c>
    </row>
    <row r="75" spans="1:4">
      <c r="A75" s="198" t="s">
        <v>108</v>
      </c>
      <c r="B75" s="198"/>
      <c r="C75" s="198"/>
      <c r="D75" s="198"/>
    </row>
    <row r="76" spans="1:4">
      <c r="A76" s="12" t="s">
        <v>109</v>
      </c>
      <c r="B76" t="s">
        <v>110</v>
      </c>
      <c r="C76" s="1" t="s">
        <v>38</v>
      </c>
      <c r="D76" s="1" t="s">
        <v>19</v>
      </c>
    </row>
    <row r="77" spans="1:4">
      <c r="A77" s="12" t="s">
        <v>42</v>
      </c>
      <c r="B77" s="60" t="s">
        <v>111</v>
      </c>
      <c r="C77" s="56">
        <f>((1/12)*2%)</f>
        <v>1.6666666666666666E-3</v>
      </c>
      <c r="D77" s="49">
        <f>TRUNC(($D$31*C77),2)</f>
        <v>3.29</v>
      </c>
    </row>
    <row r="78" spans="1:4">
      <c r="A78" s="12" t="s">
        <v>45</v>
      </c>
      <c r="B78" s="60" t="s">
        <v>112</v>
      </c>
      <c r="C78" s="61">
        <v>0.08</v>
      </c>
      <c r="D78" s="7">
        <f>TRUNC(($D$77*C78),2)</f>
        <v>0.26</v>
      </c>
    </row>
    <row r="79" spans="1:4" ht="30">
      <c r="A79" s="12" t="s">
        <v>48</v>
      </c>
      <c r="B79" s="62" t="s">
        <v>113</v>
      </c>
      <c r="C79" s="63">
        <f>(0.08*0.4*0.02)</f>
        <v>6.4000000000000005E-4</v>
      </c>
      <c r="D79" s="58">
        <f>TRUNC(($D$31*C79),2)</f>
        <v>1.26</v>
      </c>
    </row>
    <row r="80" spans="1:4">
      <c r="A80" s="12" t="s">
        <v>50</v>
      </c>
      <c r="B80" s="60" t="s">
        <v>114</v>
      </c>
      <c r="C80" s="61">
        <f>(((7/30)/12)*0.98)</f>
        <v>1.9055555555555555E-2</v>
      </c>
      <c r="D80" s="7">
        <f>TRUNC(($D$31*C80),2)</f>
        <v>37.630000000000003</v>
      </c>
    </row>
    <row r="81" spans="1:4" ht="30">
      <c r="A81" s="12" t="s">
        <v>53</v>
      </c>
      <c r="B81" s="62" t="s">
        <v>227</v>
      </c>
      <c r="C81" s="63">
        <f>C55</f>
        <v>0.33800000000000002</v>
      </c>
      <c r="D81" s="58">
        <f>TRUNC(($D$80*C81),2)</f>
        <v>12.71</v>
      </c>
    </row>
    <row r="82" spans="1:4" ht="30">
      <c r="A82" s="12" t="s">
        <v>55</v>
      </c>
      <c r="B82" s="62" t="s">
        <v>115</v>
      </c>
      <c r="C82" s="63">
        <f>(0.08*0.4*0.98)</f>
        <v>3.1359999999999999E-2</v>
      </c>
      <c r="D82" s="58">
        <f>TRUNC(($D$31*C82),2)</f>
        <v>61.93</v>
      </c>
    </row>
    <row r="83" spans="1:4">
      <c r="A83" s="12" t="s">
        <v>58</v>
      </c>
      <c r="C83" s="61">
        <f>SUM(C77:C82)</f>
        <v>0.47072222222222221</v>
      </c>
      <c r="D83" s="7">
        <f>TRUNC((SUM(D77:D82)),2)</f>
        <v>117.08</v>
      </c>
    </row>
    <row r="84" spans="1:4">
      <c r="A84" s="12"/>
      <c r="D84" s="7"/>
    </row>
    <row r="85" spans="1:4">
      <c r="A85" s="206" t="s">
        <v>228</v>
      </c>
      <c r="B85" s="206"/>
      <c r="C85" s="52" t="s">
        <v>219</v>
      </c>
      <c r="D85" s="53">
        <f>D31</f>
        <v>1974.81</v>
      </c>
    </row>
    <row r="86" spans="1:4">
      <c r="A86" s="206"/>
      <c r="B86" s="206"/>
      <c r="C86" s="54" t="s">
        <v>229</v>
      </c>
      <c r="D86" s="53">
        <f>D73</f>
        <v>1802.21</v>
      </c>
    </row>
    <row r="87" spans="1:4">
      <c r="A87" s="206"/>
      <c r="B87" s="206"/>
      <c r="C87" s="52" t="s">
        <v>230</v>
      </c>
      <c r="D87" s="53">
        <f>D83</f>
        <v>117.08</v>
      </c>
    </row>
    <row r="88" spans="1:4">
      <c r="A88" s="206"/>
      <c r="B88" s="206"/>
      <c r="C88" s="54" t="s">
        <v>221</v>
      </c>
      <c r="D88" s="55">
        <f>TRUNC((SUM(D85:D87)),2)</f>
        <v>3894.1</v>
      </c>
    </row>
    <row r="89" spans="1:4">
      <c r="A89" s="12"/>
      <c r="D89" s="7"/>
    </row>
    <row r="90" spans="1:4" ht="35.1" customHeight="1">
      <c r="A90" s="207" t="s">
        <v>127</v>
      </c>
      <c r="B90" s="207"/>
      <c r="C90" s="207"/>
      <c r="D90" s="207"/>
    </row>
    <row r="91" spans="1:4">
      <c r="A91" s="193" t="s">
        <v>128</v>
      </c>
      <c r="B91" s="193"/>
      <c r="C91" s="193"/>
      <c r="D91" s="193"/>
    </row>
    <row r="92" spans="1:4">
      <c r="A92" s="12" t="s">
        <v>129</v>
      </c>
      <c r="B92" t="s">
        <v>130</v>
      </c>
      <c r="C92" s="1" t="s">
        <v>38</v>
      </c>
      <c r="D92" s="1" t="s">
        <v>19</v>
      </c>
    </row>
    <row r="93" spans="1:4">
      <c r="A93" s="12" t="s">
        <v>42</v>
      </c>
      <c r="B93" s="60" t="s">
        <v>132</v>
      </c>
      <c r="C93" s="64">
        <f>(((1+1/3)/12)/12)+((1/12)/12)</f>
        <v>1.6203703703703703E-2</v>
      </c>
      <c r="D93" s="65">
        <f>TRUNC(($D$88*C93),2)</f>
        <v>63.09</v>
      </c>
    </row>
    <row r="94" spans="1:4">
      <c r="A94" s="12" t="s">
        <v>45</v>
      </c>
      <c r="B94" s="60" t="s">
        <v>133</v>
      </c>
      <c r="C94" s="66">
        <f>((5/30)/12)</f>
        <v>1.3888888888888888E-2</v>
      </c>
      <c r="D94" s="67">
        <f>TRUNC(($D$88*C94),2)</f>
        <v>54.08</v>
      </c>
    </row>
    <row r="95" spans="1:4">
      <c r="A95" s="12" t="s">
        <v>48</v>
      </c>
      <c r="B95" s="60" t="s">
        <v>134</v>
      </c>
      <c r="C95" s="66">
        <f>((5/30)/12)*0.02</f>
        <v>2.7777777777777778E-4</v>
      </c>
      <c r="D95" s="67">
        <f>TRUNC(($D$88*C95),2)</f>
        <v>1.08</v>
      </c>
    </row>
    <row r="96" spans="1:4" ht="30">
      <c r="A96" s="12" t="s">
        <v>50</v>
      </c>
      <c r="B96" s="62" t="s">
        <v>135</v>
      </c>
      <c r="C96" s="68">
        <f>((15/30)/12)*0.08</f>
        <v>3.3333333333333331E-3</v>
      </c>
      <c r="D96" s="67">
        <f>TRUNC(($D$88*C96),2)</f>
        <v>12.98</v>
      </c>
    </row>
    <row r="97" spans="1:4">
      <c r="A97" s="12" t="s">
        <v>53</v>
      </c>
      <c r="B97" s="60" t="s">
        <v>136</v>
      </c>
      <c r="C97" s="66">
        <f>((1+1/3)/12)*0.00001*((4/12))</f>
        <v>3.7037037037037031E-7</v>
      </c>
      <c r="D97" s="67">
        <f>TRUNC(($D$88*C97),2)</f>
        <v>0</v>
      </c>
    </row>
    <row r="98" spans="1:4" ht="30">
      <c r="A98" s="12" t="s">
        <v>55</v>
      </c>
      <c r="B98" s="62" t="s">
        <v>231</v>
      </c>
      <c r="C98" s="69">
        <v>0</v>
      </c>
      <c r="D98" s="67">
        <f>TRUNC($D$88*C98)</f>
        <v>0</v>
      </c>
    </row>
    <row r="99" spans="1:4">
      <c r="A99" s="12" t="s">
        <v>58</v>
      </c>
      <c r="B99" s="60"/>
      <c r="C99" s="64">
        <f>SUBTOTAL(109,Submódulo4.159_54110[Percentual])</f>
        <v>3.3704074074074074E-2</v>
      </c>
      <c r="D99" s="65">
        <f>TRUNC((SUM(D93:D98)),2)</f>
        <v>131.22999999999999</v>
      </c>
    </row>
    <row r="100" spans="1:4">
      <c r="A100" s="12"/>
      <c r="C100" s="1"/>
      <c r="D100" s="7"/>
    </row>
    <row r="101" spans="1:4">
      <c r="A101" s="193" t="s">
        <v>144</v>
      </c>
      <c r="B101" s="193"/>
      <c r="C101" s="193"/>
      <c r="D101" s="193"/>
    </row>
    <row r="102" spans="1:4">
      <c r="A102" s="12" t="s">
        <v>145</v>
      </c>
      <c r="B102" t="s">
        <v>146</v>
      </c>
      <c r="C102" s="1" t="s">
        <v>18</v>
      </c>
      <c r="D102" s="1" t="s">
        <v>19</v>
      </c>
    </row>
    <row r="103" spans="1:4" ht="75">
      <c r="A103" s="12" t="s">
        <v>42</v>
      </c>
      <c r="B103" s="70" t="s">
        <v>147</v>
      </c>
      <c r="C103" s="71" t="s">
        <v>232</v>
      </c>
      <c r="D103" s="72" t="s">
        <v>233</v>
      </c>
    </row>
    <row r="104" spans="1:4">
      <c r="A104" s="12" t="s">
        <v>58</v>
      </c>
      <c r="C104" s="73"/>
      <c r="D104" s="74" t="str">
        <f>D103</f>
        <v>*=TRUNCAR(($D$86/220)*(1*(365/12))/2)</v>
      </c>
    </row>
    <row r="106" spans="1:4">
      <c r="A106" s="193" t="s">
        <v>148</v>
      </c>
      <c r="B106" s="193"/>
      <c r="C106" s="193"/>
      <c r="D106" s="193"/>
    </row>
    <row r="107" spans="1:4">
      <c r="A107" s="12" t="s">
        <v>149</v>
      </c>
      <c r="B107" t="s">
        <v>150</v>
      </c>
      <c r="C107" s="1" t="s">
        <v>18</v>
      </c>
      <c r="D107" s="1" t="s">
        <v>19</v>
      </c>
    </row>
    <row r="108" spans="1:4">
      <c r="A108" s="12" t="s">
        <v>129</v>
      </c>
      <c r="B108" t="s">
        <v>130</v>
      </c>
      <c r="D108" s="49">
        <f>D99</f>
        <v>131.22999999999999</v>
      </c>
    </row>
    <row r="109" spans="1:4">
      <c r="A109" s="12" t="s">
        <v>145</v>
      </c>
      <c r="B109" t="s">
        <v>151</v>
      </c>
      <c r="D109" s="75" t="str">
        <f>Submódulo4.260_55107[[#Totals],[Valor]]</f>
        <v>*=TRUNCAR(($D$86/220)*(1*(365/12))/2)</v>
      </c>
    </row>
    <row r="110" spans="1:4" ht="45">
      <c r="A110" s="12" t="s">
        <v>58</v>
      </c>
      <c r="B110" s="16"/>
      <c r="C110" s="71" t="s">
        <v>234</v>
      </c>
      <c r="D110" s="76">
        <f>TRUNC((SUM(D108:D109)),2)</f>
        <v>131.22999999999999</v>
      </c>
    </row>
    <row r="112" spans="1:4">
      <c r="A112" s="198" t="s">
        <v>152</v>
      </c>
      <c r="B112" s="198"/>
      <c r="C112" s="198"/>
      <c r="D112" s="198"/>
    </row>
    <row r="113" spans="1:11" ht="36.75" customHeight="1">
      <c r="A113" s="12" t="s">
        <v>153</v>
      </c>
      <c r="B113" s="16" t="s">
        <v>154</v>
      </c>
      <c r="C113" s="12" t="s">
        <v>18</v>
      </c>
      <c r="D113" s="12" t="s">
        <v>19</v>
      </c>
      <c r="H113" s="77" t="s">
        <v>235</v>
      </c>
      <c r="I113" s="78" t="s">
        <v>236</v>
      </c>
      <c r="J113" s="78" t="s">
        <v>237</v>
      </c>
      <c r="K113" s="78" t="s">
        <v>238</v>
      </c>
    </row>
    <row r="114" spans="1:11">
      <c r="A114" s="12" t="s">
        <v>42</v>
      </c>
      <c r="B114" t="s">
        <v>239</v>
      </c>
      <c r="D114" s="79">
        <f>F114</f>
        <v>0</v>
      </c>
      <c r="F114">
        <f t="array" ref="F114:G114">'Uniformes e EPI'!G17:H17</f>
        <v>0</v>
      </c>
      <c r="G114">
        <v>0</v>
      </c>
      <c r="H114" s="80" t="s">
        <v>240</v>
      </c>
      <c r="I114" s="81">
        <v>0</v>
      </c>
      <c r="J114" s="82">
        <v>70</v>
      </c>
      <c r="K114" s="82">
        <f>TRUNC(J114*I114,2)</f>
        <v>0</v>
      </c>
    </row>
    <row r="115" spans="1:11">
      <c r="A115" s="12" t="s">
        <v>45</v>
      </c>
      <c r="B115" t="s">
        <v>241</v>
      </c>
      <c r="D115" s="79">
        <v>0</v>
      </c>
      <c r="H115" s="83" t="s">
        <v>242</v>
      </c>
      <c r="I115" s="84">
        <v>0</v>
      </c>
      <c r="J115" s="53">
        <v>35</v>
      </c>
      <c r="K115" s="82">
        <f>TRUNC(J115*I115,2)</f>
        <v>0</v>
      </c>
    </row>
    <row r="116" spans="1:11">
      <c r="A116" s="12" t="s">
        <v>48</v>
      </c>
      <c r="B116" t="s">
        <v>156</v>
      </c>
      <c r="D116" s="79">
        <v>0</v>
      </c>
      <c r="H116" s="208" t="s">
        <v>221</v>
      </c>
      <c r="I116" s="208"/>
      <c r="J116" s="210">
        <f>TRUNC(SUM(K114:K115),2)</f>
        <v>0</v>
      </c>
      <c r="K116" s="210"/>
    </row>
    <row r="117" spans="1:11">
      <c r="A117" s="12" t="s">
        <v>50</v>
      </c>
      <c r="B117" t="s">
        <v>157</v>
      </c>
      <c r="D117" s="79">
        <v>0</v>
      </c>
      <c r="H117" s="208" t="s">
        <v>243</v>
      </c>
      <c r="I117" s="208"/>
      <c r="J117" s="210">
        <f>TRUNC(J116/12,2)</f>
        <v>0</v>
      </c>
      <c r="K117" s="210"/>
    </row>
    <row r="118" spans="1:11" ht="15" customHeight="1">
      <c r="A118" s="12" t="s">
        <v>53</v>
      </c>
      <c r="B118" t="s">
        <v>244</v>
      </c>
      <c r="C118" s="1"/>
      <c r="D118" s="85">
        <f>J117</f>
        <v>0</v>
      </c>
      <c r="H118" s="211" t="s">
        <v>455</v>
      </c>
      <c r="I118" s="212"/>
      <c r="J118" s="212"/>
      <c r="K118" s="212"/>
    </row>
    <row r="119" spans="1:11">
      <c r="A119" s="12" t="s">
        <v>58</v>
      </c>
      <c r="D119" s="65">
        <f>TRUNC(SUM(D114:D118),2)</f>
        <v>0</v>
      </c>
      <c r="H119" s="212"/>
      <c r="I119" s="212"/>
      <c r="J119" s="212"/>
      <c r="K119" s="212"/>
    </row>
    <row r="121" spans="1:11">
      <c r="A121" s="206" t="s">
        <v>245</v>
      </c>
      <c r="B121" s="206"/>
      <c r="C121" s="52" t="s">
        <v>219</v>
      </c>
      <c r="D121" s="53">
        <f>D31</f>
        <v>1974.81</v>
      </c>
    </row>
    <row r="122" spans="1:11">
      <c r="A122" s="206"/>
      <c r="B122" s="206"/>
      <c r="C122" s="54" t="s">
        <v>229</v>
      </c>
      <c r="D122" s="53">
        <f>D73</f>
        <v>1802.21</v>
      </c>
    </row>
    <row r="123" spans="1:11">
      <c r="A123" s="206"/>
      <c r="B123" s="206"/>
      <c r="C123" s="52" t="s">
        <v>230</v>
      </c>
      <c r="D123" s="53">
        <f>D83</f>
        <v>117.08</v>
      </c>
    </row>
    <row r="124" spans="1:11">
      <c r="A124" s="206"/>
      <c r="B124" s="206"/>
      <c r="C124" s="54" t="s">
        <v>246</v>
      </c>
      <c r="D124" s="53">
        <f>D110</f>
        <v>131.22999999999999</v>
      </c>
    </row>
    <row r="125" spans="1:11">
      <c r="A125" s="206"/>
      <c r="B125" s="206"/>
      <c r="C125" s="52" t="s">
        <v>247</v>
      </c>
      <c r="D125" s="53">
        <f>D119</f>
        <v>0</v>
      </c>
    </row>
    <row r="126" spans="1:11">
      <c r="A126" s="206"/>
      <c r="B126" s="206"/>
      <c r="C126" s="54" t="s">
        <v>221</v>
      </c>
      <c r="D126" s="55">
        <f>TRUNC((SUM(D121:D125)),2)</f>
        <v>4025.33</v>
      </c>
    </row>
    <row r="128" spans="1:11">
      <c r="A128" s="198" t="s">
        <v>164</v>
      </c>
      <c r="B128" s="198"/>
      <c r="C128" s="198"/>
      <c r="D128" s="198"/>
    </row>
    <row r="129" spans="1:9">
      <c r="A129" s="12" t="s">
        <v>165</v>
      </c>
      <c r="B129" t="s">
        <v>166</v>
      </c>
      <c r="C129" s="1" t="s">
        <v>38</v>
      </c>
      <c r="D129" s="1" t="s">
        <v>19</v>
      </c>
      <c r="H129" s="209" t="s">
        <v>248</v>
      </c>
      <c r="I129" s="209"/>
    </row>
    <row r="130" spans="1:9">
      <c r="A130" s="12" t="s">
        <v>42</v>
      </c>
      <c r="B130" t="s">
        <v>167</v>
      </c>
      <c r="C130" s="56">
        <v>0</v>
      </c>
      <c r="D130" s="49">
        <f>TRUNC(($D$126*C130),2)</f>
        <v>0</v>
      </c>
      <c r="H130" s="80" t="s">
        <v>249</v>
      </c>
      <c r="I130" s="63">
        <f>C132</f>
        <v>0.14250000000000002</v>
      </c>
    </row>
    <row r="131" spans="1:9">
      <c r="A131" s="12" t="s">
        <v>45</v>
      </c>
      <c r="B131" t="s">
        <v>59</v>
      </c>
      <c r="C131" s="56">
        <v>0</v>
      </c>
      <c r="D131" s="49">
        <f>TRUNC((C131*(D126+D130)),2)</f>
        <v>0</v>
      </c>
      <c r="H131" s="86" t="s">
        <v>250</v>
      </c>
      <c r="I131" s="87">
        <f>TRUNC(SUM(D126,D130,D131),2)</f>
        <v>4025.33</v>
      </c>
    </row>
    <row r="132" spans="1:9">
      <c r="A132" s="12" t="s">
        <v>48</v>
      </c>
      <c r="B132" t="s">
        <v>168</v>
      </c>
      <c r="C132" s="56">
        <f>SUM(C133:C135)</f>
        <v>0.14250000000000002</v>
      </c>
      <c r="D132" s="49">
        <f>TRUNC((SUM(D133:D135)),2)</f>
        <v>627.91</v>
      </c>
      <c r="H132" s="80" t="s">
        <v>251</v>
      </c>
      <c r="I132" s="88">
        <f>(100-8.65)/100</f>
        <v>0.91349999999999998</v>
      </c>
    </row>
    <row r="133" spans="1:9">
      <c r="A133" s="12"/>
      <c r="B133" t="s">
        <v>252</v>
      </c>
      <c r="C133" s="56">
        <v>1.6500000000000001E-2</v>
      </c>
      <c r="D133" s="49">
        <f>TRUNC(($I$133*C133),2)</f>
        <v>72.7</v>
      </c>
      <c r="H133" s="86" t="s">
        <v>248</v>
      </c>
      <c r="I133" s="87">
        <f>TRUNC((I131/I132),2)</f>
        <v>4406.49</v>
      </c>
    </row>
    <row r="134" spans="1:9">
      <c r="A134" s="12"/>
      <c r="B134" t="s">
        <v>253</v>
      </c>
      <c r="C134" s="56">
        <v>7.5999999999999998E-2</v>
      </c>
      <c r="D134" s="49">
        <f>TRUNC(($I$133*C134),2)</f>
        <v>334.89</v>
      </c>
    </row>
    <row r="135" spans="1:9">
      <c r="A135" s="12"/>
      <c r="B135" t="s">
        <v>254</v>
      </c>
      <c r="C135" s="56">
        <v>0.05</v>
      </c>
      <c r="D135" s="49">
        <f>TRUNC(($I$133*C135),2)</f>
        <v>220.32</v>
      </c>
    </row>
    <row r="136" spans="1:9">
      <c r="A136" s="12" t="s">
        <v>58</v>
      </c>
      <c r="B136" s="60"/>
      <c r="C136" s="1"/>
      <c r="D136" s="7">
        <f>TRUNC(SUM(D130:D132),2)</f>
        <v>627.91</v>
      </c>
    </row>
    <row r="137" spans="1:9">
      <c r="A137" s="12"/>
      <c r="C137" s="1"/>
      <c r="D137" s="7"/>
    </row>
    <row r="139" spans="1:9">
      <c r="A139" s="198" t="s">
        <v>172</v>
      </c>
      <c r="B139" s="198"/>
      <c r="C139" s="198"/>
      <c r="D139" s="198"/>
    </row>
    <row r="140" spans="1:9">
      <c r="A140" s="12" t="s">
        <v>16</v>
      </c>
      <c r="B140" s="1" t="s">
        <v>173</v>
      </c>
      <c r="C140" s="1" t="s">
        <v>102</v>
      </c>
      <c r="D140" s="1" t="s">
        <v>19</v>
      </c>
    </row>
    <row r="141" spans="1:9">
      <c r="A141" s="12" t="s">
        <v>42</v>
      </c>
      <c r="B141" t="s">
        <v>36</v>
      </c>
      <c r="D141" s="7">
        <f>D31</f>
        <v>1974.81</v>
      </c>
    </row>
    <row r="142" spans="1:9">
      <c r="A142" s="12" t="s">
        <v>45</v>
      </c>
      <c r="B142" t="s">
        <v>61</v>
      </c>
      <c r="D142" s="7">
        <f>D73</f>
        <v>1802.21</v>
      </c>
    </row>
    <row r="143" spans="1:9">
      <c r="A143" s="12" t="s">
        <v>48</v>
      </c>
      <c r="B143" t="s">
        <v>108</v>
      </c>
      <c r="D143" s="7">
        <f>D83</f>
        <v>117.08</v>
      </c>
    </row>
    <row r="144" spans="1:9">
      <c r="A144" s="12" t="s">
        <v>50</v>
      </c>
      <c r="B144" t="s">
        <v>174</v>
      </c>
      <c r="D144" s="7">
        <f>D110</f>
        <v>131.22999999999999</v>
      </c>
    </row>
    <row r="145" spans="1:4">
      <c r="A145" s="12" t="s">
        <v>53</v>
      </c>
      <c r="B145" t="s">
        <v>152</v>
      </c>
      <c r="D145" s="7">
        <f>D119</f>
        <v>0</v>
      </c>
    </row>
    <row r="146" spans="1:4">
      <c r="B146" s="89" t="s">
        <v>255</v>
      </c>
      <c r="D146" s="7">
        <f>TRUNC(SUM(D141:D145),2)</f>
        <v>4025.33</v>
      </c>
    </row>
    <row r="147" spans="1:4">
      <c r="A147" s="12" t="s">
        <v>55</v>
      </c>
      <c r="B147" t="s">
        <v>164</v>
      </c>
      <c r="D147" s="7">
        <f>D136</f>
        <v>627.91</v>
      </c>
    </row>
    <row r="148" spans="1:4">
      <c r="A148" s="90"/>
      <c r="B148" s="91" t="s">
        <v>256</v>
      </c>
      <c r="C148" s="20"/>
      <c r="D148" s="92">
        <f>TRUNC((SUM(D141:D145)+D147),2)</f>
        <v>4653.24</v>
      </c>
    </row>
  </sheetData>
  <mergeCells count="38">
    <mergeCell ref="A128:D128"/>
    <mergeCell ref="H129:I129"/>
    <mergeCell ref="A139:D139"/>
    <mergeCell ref="J116:K116"/>
    <mergeCell ref="H117:I117"/>
    <mergeCell ref="J117:K117"/>
    <mergeCell ref="H118:K119"/>
    <mergeCell ref="A121:B126"/>
    <mergeCell ref="A91:D91"/>
    <mergeCell ref="A101:D101"/>
    <mergeCell ref="A106:D106"/>
    <mergeCell ref="A112:D112"/>
    <mergeCell ref="H116:I116"/>
    <mergeCell ref="A57:D57"/>
    <mergeCell ref="A68:D68"/>
    <mergeCell ref="A75:D75"/>
    <mergeCell ref="A85:B88"/>
    <mergeCell ref="A90:D90"/>
    <mergeCell ref="H31:I31"/>
    <mergeCell ref="A33:D33"/>
    <mergeCell ref="A35:D35"/>
    <mergeCell ref="A41:B43"/>
    <mergeCell ref="A45:D45"/>
    <mergeCell ref="A14:B14"/>
    <mergeCell ref="A15:D15"/>
    <mergeCell ref="H15:I15"/>
    <mergeCell ref="H22:I22"/>
    <mergeCell ref="A23:D23"/>
    <mergeCell ref="C9:D9"/>
    <mergeCell ref="C10:D10"/>
    <mergeCell ref="A11:D11"/>
    <mergeCell ref="A12:B12"/>
    <mergeCell ref="A13:B13"/>
    <mergeCell ref="A2:D2"/>
    <mergeCell ref="A3:D3"/>
    <mergeCell ref="A6:D6"/>
    <mergeCell ref="C7:D7"/>
    <mergeCell ref="C8:D8"/>
  </mergeCells>
  <pageMargins left="0.25" right="0.25" top="0.75" bottom="0.75" header="0.511811023622047" footer="0.511811023622047"/>
  <pageSetup paperSize="9" scale="73" fitToHeight="0" orientation="portrait" horizontalDpi="300" verticalDpi="300"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K148"/>
  <sheetViews>
    <sheetView view="pageBreakPreview" topLeftCell="A118" zoomScaleNormal="80" workbookViewId="0">
      <selection activeCell="H120" sqref="H120"/>
    </sheetView>
  </sheetViews>
  <sheetFormatPr defaultColWidth="9.140625" defaultRowHeight="15"/>
  <cols>
    <col min="1" max="1" width="12" style="16" customWidth="1"/>
    <col min="2" max="2" width="52.7109375" customWidth="1"/>
    <col min="3" max="3" width="36" customWidth="1"/>
    <col min="4" max="4" width="38.140625" customWidth="1"/>
    <col min="6" max="7" width="11.5703125" hidden="1" customWidth="1"/>
    <col min="8" max="8" width="22.85546875" customWidth="1"/>
    <col min="9" max="9" width="13.28515625" customWidth="1"/>
    <col min="10" max="10" width="11" customWidth="1"/>
    <col min="11" max="11" width="11.42578125" customWidth="1"/>
  </cols>
  <sheetData>
    <row r="2" spans="1:9" ht="18.75">
      <c r="A2" s="196" t="s">
        <v>194</v>
      </c>
      <c r="B2" s="196"/>
      <c r="C2" s="196"/>
      <c r="D2" s="196"/>
    </row>
    <row r="3" spans="1:9">
      <c r="A3" s="197" t="str">
        <f>Pedreiro!A3</f>
        <v>Processo Administrativo n.° 23324.000830.2025-46</v>
      </c>
      <c r="B3" s="197"/>
      <c r="C3" s="197"/>
      <c r="D3" s="197"/>
    </row>
    <row r="4" spans="1:9">
      <c r="A4" s="32" t="s">
        <v>195</v>
      </c>
      <c r="B4" s="33" t="s">
        <v>392</v>
      </c>
      <c r="C4" s="34"/>
      <c r="D4" s="34"/>
    </row>
    <row r="5" spans="1:9">
      <c r="A5" s="35"/>
      <c r="B5" s="36"/>
      <c r="C5" s="36"/>
      <c r="D5" s="36"/>
    </row>
    <row r="6" spans="1:9">
      <c r="A6" s="198" t="s">
        <v>196</v>
      </c>
      <c r="B6" s="198"/>
      <c r="C6" s="198"/>
      <c r="D6" s="198"/>
    </row>
    <row r="7" spans="1:9">
      <c r="A7" s="37" t="s">
        <v>42</v>
      </c>
      <c r="B7" s="38" t="s">
        <v>197</v>
      </c>
      <c r="C7" s="199" t="str">
        <f>Pedreiro!C7</f>
        <v>xx/xx/2025</v>
      </c>
      <c r="D7" s="199"/>
    </row>
    <row r="8" spans="1:9">
      <c r="A8" s="39" t="s">
        <v>45</v>
      </c>
      <c r="B8" s="40" t="s">
        <v>199</v>
      </c>
      <c r="C8" s="200" t="s">
        <v>200</v>
      </c>
      <c r="D8" s="200"/>
    </row>
    <row r="9" spans="1:9">
      <c r="A9" s="42" t="s">
        <v>48</v>
      </c>
      <c r="B9" s="43" t="s">
        <v>201</v>
      </c>
      <c r="C9" s="200" t="str">
        <f>Pedreiro!C9</f>
        <v>CCT PB000113/2025</v>
      </c>
      <c r="D9" s="200"/>
    </row>
    <row r="10" spans="1:9">
      <c r="A10" s="39" t="s">
        <v>53</v>
      </c>
      <c r="B10" s="40" t="s">
        <v>202</v>
      </c>
      <c r="C10" s="200" t="s">
        <v>203</v>
      </c>
      <c r="D10" s="200"/>
    </row>
    <row r="11" spans="1:9">
      <c r="A11" s="202" t="s">
        <v>204</v>
      </c>
      <c r="B11" s="202"/>
      <c r="C11" s="202"/>
      <c r="D11" s="202"/>
    </row>
    <row r="12" spans="1:9" ht="15" customHeight="1">
      <c r="A12" s="203" t="s">
        <v>205</v>
      </c>
      <c r="B12" s="203"/>
      <c r="C12" s="44" t="s">
        <v>206</v>
      </c>
      <c r="D12" s="45" t="s">
        <v>207</v>
      </c>
    </row>
    <row r="13" spans="1:9">
      <c r="A13" s="204" t="s">
        <v>257</v>
      </c>
      <c r="B13" s="204"/>
      <c r="C13" s="41" t="s">
        <v>209</v>
      </c>
      <c r="D13" s="46">
        <f>RESUMO!D4</f>
        <v>1</v>
      </c>
    </row>
    <row r="14" spans="1:9">
      <c r="A14" s="205"/>
      <c r="B14" s="205"/>
      <c r="C14" s="41"/>
      <c r="D14" s="47"/>
    </row>
    <row r="15" spans="1:9">
      <c r="A15" s="202" t="s">
        <v>14</v>
      </c>
      <c r="B15" s="202"/>
      <c r="C15" s="202"/>
      <c r="D15" s="202"/>
      <c r="H15" s="190"/>
      <c r="I15" s="190"/>
    </row>
    <row r="16" spans="1:9">
      <c r="A16" s="12" t="s">
        <v>16</v>
      </c>
      <c r="B16" t="s">
        <v>17</v>
      </c>
      <c r="C16" s="1" t="s">
        <v>18</v>
      </c>
      <c r="D16" s="1" t="s">
        <v>19</v>
      </c>
    </row>
    <row r="17" spans="1:9">
      <c r="A17" s="12">
        <v>1</v>
      </c>
      <c r="B17" t="s">
        <v>20</v>
      </c>
      <c r="C17" s="4" t="s">
        <v>102</v>
      </c>
      <c r="D17" s="4" t="str">
        <f>A13</f>
        <v>Eletricista</v>
      </c>
    </row>
    <row r="18" spans="1:9">
      <c r="A18" s="12">
        <v>2</v>
      </c>
      <c r="B18" t="s">
        <v>23</v>
      </c>
      <c r="C18" s="4" t="s">
        <v>210</v>
      </c>
      <c r="D18" s="4" t="s">
        <v>258</v>
      </c>
    </row>
    <row r="19" spans="1:9">
      <c r="A19" s="12">
        <v>3</v>
      </c>
      <c r="B19" t="s">
        <v>26</v>
      </c>
      <c r="C19" s="4" t="str">
        <f>C9</f>
        <v>CCT PB000113/2025</v>
      </c>
      <c r="D19" s="49">
        <v>1974.81</v>
      </c>
    </row>
    <row r="20" spans="1:9">
      <c r="A20" s="12">
        <v>4</v>
      </c>
      <c r="B20" t="s">
        <v>29</v>
      </c>
      <c r="C20" s="4" t="str">
        <f>C9</f>
        <v>CCT PB000113/2025</v>
      </c>
      <c r="D20" s="4" t="s">
        <v>212</v>
      </c>
    </row>
    <row r="21" spans="1:9">
      <c r="A21" s="12">
        <v>5</v>
      </c>
      <c r="B21" t="s">
        <v>33</v>
      </c>
      <c r="C21" s="4" t="str">
        <f>C9</f>
        <v>CCT PB000113/2025</v>
      </c>
      <c r="D21" s="50" t="s">
        <v>213</v>
      </c>
    </row>
    <row r="22" spans="1:9">
      <c r="H22" s="190"/>
      <c r="I22" s="190"/>
    </row>
    <row r="23" spans="1:9">
      <c r="A23" s="198" t="s">
        <v>36</v>
      </c>
      <c r="B23" s="198"/>
      <c r="C23" s="198"/>
      <c r="D23" s="198"/>
    </row>
    <row r="24" spans="1:9">
      <c r="A24" s="12" t="s">
        <v>39</v>
      </c>
      <c r="B24" t="s">
        <v>40</v>
      </c>
      <c r="C24" s="1" t="s">
        <v>18</v>
      </c>
      <c r="D24" s="1" t="s">
        <v>19</v>
      </c>
      <c r="I24" s="6"/>
    </row>
    <row r="25" spans="1:9">
      <c r="A25" s="12" t="s">
        <v>42</v>
      </c>
      <c r="B25" t="s">
        <v>43</v>
      </c>
      <c r="C25" s="4" t="s">
        <v>214</v>
      </c>
      <c r="D25" s="49">
        <f>D19</f>
        <v>1974.81</v>
      </c>
      <c r="I25" s="6"/>
    </row>
    <row r="26" spans="1:9">
      <c r="A26" s="12" t="s">
        <v>45</v>
      </c>
      <c r="B26" t="s">
        <v>46</v>
      </c>
      <c r="C26" s="4" t="s">
        <v>259</v>
      </c>
      <c r="D26" s="49">
        <f>TRUNC((D25*30%),2)</f>
        <v>592.44000000000005</v>
      </c>
      <c r="I26" s="6"/>
    </row>
    <row r="27" spans="1:9">
      <c r="A27" s="12" t="s">
        <v>48</v>
      </c>
      <c r="B27" t="s">
        <v>49</v>
      </c>
      <c r="C27" s="4"/>
      <c r="D27" s="49">
        <v>0</v>
      </c>
    </row>
    <row r="28" spans="1:9">
      <c r="A28" s="12" t="s">
        <v>50</v>
      </c>
      <c r="B28" t="s">
        <v>51</v>
      </c>
      <c r="C28" s="4"/>
      <c r="D28" s="49">
        <v>0</v>
      </c>
    </row>
    <row r="29" spans="1:9">
      <c r="A29" s="12" t="s">
        <v>53</v>
      </c>
      <c r="B29" t="s">
        <v>54</v>
      </c>
      <c r="C29" s="4"/>
      <c r="D29" s="49">
        <v>0</v>
      </c>
    </row>
    <row r="30" spans="1:9">
      <c r="A30" s="12" t="s">
        <v>55</v>
      </c>
      <c r="B30" t="s">
        <v>56</v>
      </c>
      <c r="C30" s="4"/>
      <c r="D30" s="49">
        <v>0</v>
      </c>
    </row>
    <row r="31" spans="1:9">
      <c r="A31" s="12" t="s">
        <v>58</v>
      </c>
      <c r="C31" s="1"/>
      <c r="D31" s="7">
        <f>TRUNC(SUM(D25:D30),2)</f>
        <v>2567.25</v>
      </c>
      <c r="H31" s="190"/>
      <c r="I31" s="190"/>
    </row>
    <row r="33" spans="1:9">
      <c r="A33" s="206" t="s">
        <v>61</v>
      </c>
      <c r="B33" s="206"/>
      <c r="C33" s="206"/>
      <c r="D33" s="206"/>
      <c r="I33" s="6"/>
    </row>
    <row r="35" spans="1:9">
      <c r="A35" s="193" t="s">
        <v>63</v>
      </c>
      <c r="B35" s="193"/>
      <c r="C35" s="193"/>
      <c r="D35" s="193"/>
    </row>
    <row r="36" spans="1:9">
      <c r="A36" s="12" t="s">
        <v>65</v>
      </c>
      <c r="B36" t="s">
        <v>66</v>
      </c>
      <c r="C36" s="1" t="s">
        <v>38</v>
      </c>
      <c r="D36" s="1" t="s">
        <v>19</v>
      </c>
    </row>
    <row r="37" spans="1:9">
      <c r="A37" s="12" t="s">
        <v>42</v>
      </c>
      <c r="B37" t="s">
        <v>67</v>
      </c>
      <c r="C37" s="17">
        <f>(1/12)</f>
        <v>8.3333333333333329E-2</v>
      </c>
      <c r="D37" s="7">
        <f>TRUNC($D$31*C37,2)</f>
        <v>213.93</v>
      </c>
    </row>
    <row r="38" spans="1:9">
      <c r="A38" s="12" t="s">
        <v>45</v>
      </c>
      <c r="B38" t="s">
        <v>68</v>
      </c>
      <c r="C38" s="17">
        <f>(((1+1/3)/12))</f>
        <v>0.1111111111111111</v>
      </c>
      <c r="D38" s="7">
        <f>TRUNC($D$31*C38,2)</f>
        <v>285.25</v>
      </c>
    </row>
    <row r="39" spans="1:9">
      <c r="A39" s="12" t="s">
        <v>58</v>
      </c>
      <c r="D39" s="7">
        <f>TRUNC((SUM(D37:D38)),2)</f>
        <v>499.18</v>
      </c>
    </row>
    <row r="40" spans="1:9">
      <c r="D40" s="7"/>
    </row>
    <row r="41" spans="1:9">
      <c r="A41" s="206" t="s">
        <v>218</v>
      </c>
      <c r="B41" s="206"/>
      <c r="C41" s="52" t="s">
        <v>219</v>
      </c>
      <c r="D41" s="53">
        <f>D31</f>
        <v>2567.25</v>
      </c>
    </row>
    <row r="42" spans="1:9">
      <c r="A42" s="206"/>
      <c r="B42" s="206"/>
      <c r="C42" s="54" t="s">
        <v>220</v>
      </c>
      <c r="D42" s="53">
        <f>D39</f>
        <v>499.18</v>
      </c>
    </row>
    <row r="43" spans="1:9">
      <c r="A43" s="206"/>
      <c r="B43" s="206"/>
      <c r="C43" s="52" t="s">
        <v>221</v>
      </c>
      <c r="D43" s="55">
        <f>TRUNC((SUM(D41:D42)),2)</f>
        <v>3066.43</v>
      </c>
    </row>
    <row r="44" spans="1:9">
      <c r="A44" s="12"/>
      <c r="C44" s="18"/>
      <c r="D44" s="7"/>
    </row>
    <row r="45" spans="1:9">
      <c r="A45" s="193" t="s">
        <v>77</v>
      </c>
      <c r="B45" s="193"/>
      <c r="C45" s="193"/>
      <c r="D45" s="193"/>
    </row>
    <row r="46" spans="1:9">
      <c r="A46" s="12" t="s">
        <v>78</v>
      </c>
      <c r="B46" t="s">
        <v>79</v>
      </c>
      <c r="C46" s="1" t="s">
        <v>38</v>
      </c>
      <c r="D46" s="1" t="s">
        <v>80</v>
      </c>
    </row>
    <row r="47" spans="1:9">
      <c r="A47" s="12" t="s">
        <v>42</v>
      </c>
      <c r="B47" t="s">
        <v>81</v>
      </c>
      <c r="C47" s="17">
        <v>0.2</v>
      </c>
      <c r="D47" s="7">
        <f t="shared" ref="D47:D54" si="0">TRUNC(($D$43*C47),2)</f>
        <v>613.28</v>
      </c>
    </row>
    <row r="48" spans="1:9">
      <c r="A48" s="12" t="s">
        <v>45</v>
      </c>
      <c r="B48" t="s">
        <v>82</v>
      </c>
      <c r="C48" s="17">
        <v>2.5000000000000001E-2</v>
      </c>
      <c r="D48" s="7">
        <f t="shared" si="0"/>
        <v>76.66</v>
      </c>
    </row>
    <row r="49" spans="1:8">
      <c r="A49" s="12" t="s">
        <v>48</v>
      </c>
      <c r="B49" t="s">
        <v>222</v>
      </c>
      <c r="C49" s="56">
        <v>0</v>
      </c>
      <c r="D49" s="49">
        <f t="shared" si="0"/>
        <v>0</v>
      </c>
    </row>
    <row r="50" spans="1:8">
      <c r="A50" s="12" t="s">
        <v>50</v>
      </c>
      <c r="B50" t="s">
        <v>84</v>
      </c>
      <c r="C50" s="17">
        <v>1.4999999999999999E-2</v>
      </c>
      <c r="D50" s="7">
        <f t="shared" si="0"/>
        <v>45.99</v>
      </c>
    </row>
    <row r="51" spans="1:8">
      <c r="A51" s="12" t="s">
        <v>53</v>
      </c>
      <c r="B51" t="s">
        <v>85</v>
      </c>
      <c r="C51" s="17">
        <v>0.01</v>
      </c>
      <c r="D51" s="7">
        <f t="shared" si="0"/>
        <v>30.66</v>
      </c>
    </row>
    <row r="52" spans="1:8">
      <c r="A52" s="12" t="s">
        <v>55</v>
      </c>
      <c r="B52" t="s">
        <v>86</v>
      </c>
      <c r="C52" s="17">
        <v>6.0000000000000001E-3</v>
      </c>
      <c r="D52" s="7">
        <f t="shared" si="0"/>
        <v>18.39</v>
      </c>
    </row>
    <row r="53" spans="1:8">
      <c r="A53" s="12" t="s">
        <v>87</v>
      </c>
      <c r="B53" t="s">
        <v>88</v>
      </c>
      <c r="C53" s="17">
        <v>2E-3</v>
      </c>
      <c r="D53" s="7">
        <f t="shared" si="0"/>
        <v>6.13</v>
      </c>
    </row>
    <row r="54" spans="1:8">
      <c r="A54" s="12" t="s">
        <v>89</v>
      </c>
      <c r="B54" t="s">
        <v>90</v>
      </c>
      <c r="C54" s="17">
        <v>0.08</v>
      </c>
      <c r="D54" s="7">
        <f t="shared" si="0"/>
        <v>245.31</v>
      </c>
    </row>
    <row r="55" spans="1:8">
      <c r="A55" s="12" t="s">
        <v>58</v>
      </c>
      <c r="C55" s="18">
        <f>SUM(C47:C54)</f>
        <v>0.33800000000000002</v>
      </c>
      <c r="D55" s="7">
        <f>TRUNC((SUM(D47:D54)),2)</f>
        <v>1036.42</v>
      </c>
    </row>
    <row r="56" spans="1:8">
      <c r="A56" s="12"/>
      <c r="C56" s="18"/>
      <c r="D56" s="7"/>
    </row>
    <row r="57" spans="1:8">
      <c r="A57" s="193" t="s">
        <v>95</v>
      </c>
      <c r="B57" s="193"/>
      <c r="C57" s="193"/>
      <c r="D57" s="193"/>
    </row>
    <row r="58" spans="1:8">
      <c r="A58" s="12" t="s">
        <v>96</v>
      </c>
      <c r="B58" t="s">
        <v>97</v>
      </c>
      <c r="C58" s="1" t="s">
        <v>18</v>
      </c>
      <c r="D58" s="1" t="s">
        <v>19</v>
      </c>
    </row>
    <row r="59" spans="1:8">
      <c r="A59" s="12" t="s">
        <v>42</v>
      </c>
      <c r="B59" t="s">
        <v>98</v>
      </c>
      <c r="C59" s="4"/>
      <c r="D59" s="49">
        <v>0</v>
      </c>
    </row>
    <row r="60" spans="1:8">
      <c r="A60" s="12" t="s">
        <v>45</v>
      </c>
      <c r="B60" t="s">
        <v>99</v>
      </c>
      <c r="C60" s="4" t="str">
        <f>C9</f>
        <v>CCT PB000113/2025</v>
      </c>
      <c r="D60" s="49">
        <f>Submódulo2.356_53112[[#This Row],[Valor]]</f>
        <v>540</v>
      </c>
    </row>
    <row r="61" spans="1:8">
      <c r="A61" s="12" t="s">
        <v>48</v>
      </c>
      <c r="B61" t="s">
        <v>100</v>
      </c>
      <c r="C61" s="4"/>
      <c r="D61" s="49">
        <v>0</v>
      </c>
    </row>
    <row r="62" spans="1:8">
      <c r="A62" s="12" t="s">
        <v>50</v>
      </c>
      <c r="B62" s="57" t="s">
        <v>223</v>
      </c>
      <c r="C62" s="58"/>
      <c r="D62" s="58">
        <v>0</v>
      </c>
      <c r="H62" s="16"/>
    </row>
    <row r="63" spans="1:8">
      <c r="A63" s="12" t="s">
        <v>53</v>
      </c>
      <c r="B63" t="s">
        <v>224</v>
      </c>
      <c r="C63" s="4" t="str">
        <f>C60</f>
        <v>CCT PB000113/2025</v>
      </c>
      <c r="D63" s="49">
        <v>25</v>
      </c>
    </row>
    <row r="64" spans="1:8">
      <c r="A64" s="12" t="s">
        <v>55</v>
      </c>
      <c r="B64" s="59" t="s">
        <v>225</v>
      </c>
      <c r="C64" s="4" t="str">
        <f>C9</f>
        <v>CCT PB000113/2025</v>
      </c>
      <c r="D64" s="49">
        <v>6</v>
      </c>
    </row>
    <row r="65" spans="1:4">
      <c r="A65" s="12" t="s">
        <v>87</v>
      </c>
      <c r="B65" s="59" t="s">
        <v>226</v>
      </c>
      <c r="C65" s="58" t="str">
        <f>C60</f>
        <v>CCT PB000113/2025</v>
      </c>
      <c r="D65" s="49">
        <v>50</v>
      </c>
    </row>
    <row r="66" spans="1:4">
      <c r="A66" s="12" t="s">
        <v>58</v>
      </c>
      <c r="D66" s="7">
        <f>TRUNC((SUM(D59:D65)),2)</f>
        <v>621</v>
      </c>
    </row>
    <row r="67" spans="1:4">
      <c r="A67" s="12"/>
      <c r="D67" s="7"/>
    </row>
    <row r="68" spans="1:4">
      <c r="A68" s="193" t="s">
        <v>105</v>
      </c>
      <c r="B68" s="193"/>
      <c r="C68" s="193"/>
      <c r="D68" s="193"/>
    </row>
    <row r="69" spans="1:4">
      <c r="A69" s="12" t="s">
        <v>106</v>
      </c>
      <c r="B69" t="s">
        <v>107</v>
      </c>
      <c r="C69" s="1" t="s">
        <v>18</v>
      </c>
      <c r="D69" s="1" t="s">
        <v>19</v>
      </c>
    </row>
    <row r="70" spans="1:4">
      <c r="A70" s="12" t="s">
        <v>65</v>
      </c>
      <c r="B70" t="s">
        <v>66</v>
      </c>
      <c r="C70" s="1"/>
      <c r="D70" s="7">
        <f>D39</f>
        <v>499.18</v>
      </c>
    </row>
    <row r="71" spans="1:4">
      <c r="A71" s="12" t="s">
        <v>78</v>
      </c>
      <c r="B71" t="s">
        <v>79</v>
      </c>
      <c r="C71" s="1"/>
      <c r="D71" s="7">
        <f>D55</f>
        <v>1036.42</v>
      </c>
    </row>
    <row r="72" spans="1:4">
      <c r="A72" s="12" t="s">
        <v>96</v>
      </c>
      <c r="B72" t="s">
        <v>97</v>
      </c>
      <c r="C72" s="1"/>
      <c r="D72" s="7">
        <f>D66</f>
        <v>621</v>
      </c>
    </row>
    <row r="73" spans="1:4">
      <c r="A73" s="12" t="s">
        <v>58</v>
      </c>
      <c r="C73" s="1"/>
      <c r="D73" s="7">
        <f>TRUNC((SUM(D70:D72)),2)</f>
        <v>2156.6</v>
      </c>
    </row>
    <row r="75" spans="1:4">
      <c r="A75" s="198" t="s">
        <v>108</v>
      </c>
      <c r="B75" s="198"/>
      <c r="C75" s="198"/>
      <c r="D75" s="198"/>
    </row>
    <row r="76" spans="1:4">
      <c r="A76" s="12" t="s">
        <v>109</v>
      </c>
      <c r="B76" t="s">
        <v>110</v>
      </c>
      <c r="C76" s="1" t="s">
        <v>38</v>
      </c>
      <c r="D76" s="1" t="s">
        <v>19</v>
      </c>
    </row>
    <row r="77" spans="1:4">
      <c r="A77" s="12" t="s">
        <v>42</v>
      </c>
      <c r="B77" t="s">
        <v>111</v>
      </c>
      <c r="C77" s="56">
        <f>((1/12)*2%)</f>
        <v>1.6666666666666666E-3</v>
      </c>
      <c r="D77" s="93">
        <f>TRUNC(($D$31*C77),2)</f>
        <v>4.2699999999999996</v>
      </c>
    </row>
    <row r="78" spans="1:4">
      <c r="A78" s="12" t="s">
        <v>45</v>
      </c>
      <c r="B78" t="s">
        <v>112</v>
      </c>
      <c r="C78" s="61">
        <v>0.08</v>
      </c>
      <c r="D78" s="94">
        <f>TRUNC(($D$77*C78),2)</f>
        <v>0.34</v>
      </c>
    </row>
    <row r="79" spans="1:4" ht="30">
      <c r="A79" s="12" t="s">
        <v>48</v>
      </c>
      <c r="B79" s="95" t="s">
        <v>113</v>
      </c>
      <c r="C79" s="63">
        <f>(0.08*0.4*0.02)</f>
        <v>6.4000000000000005E-4</v>
      </c>
      <c r="D79" s="93">
        <f>TRUNC(($D$31*C79),2)</f>
        <v>1.64</v>
      </c>
    </row>
    <row r="80" spans="1:4">
      <c r="A80" s="12" t="s">
        <v>50</v>
      </c>
      <c r="B80" t="s">
        <v>114</v>
      </c>
      <c r="C80" s="61">
        <f>(((7/30)/12)*0.98)</f>
        <v>1.9055555555555555E-2</v>
      </c>
      <c r="D80" s="94">
        <f>TRUNC(($D$31*C80),2)</f>
        <v>48.92</v>
      </c>
    </row>
    <row r="81" spans="1:4" ht="30">
      <c r="A81" s="12" t="s">
        <v>53</v>
      </c>
      <c r="B81" s="95" t="s">
        <v>227</v>
      </c>
      <c r="C81" s="63">
        <f>C55</f>
        <v>0.33800000000000002</v>
      </c>
      <c r="D81" s="93">
        <f>TRUNC(($D$80*C81),2)</f>
        <v>16.53</v>
      </c>
    </row>
    <row r="82" spans="1:4" ht="30">
      <c r="A82" s="12" t="s">
        <v>55</v>
      </c>
      <c r="B82" s="95" t="s">
        <v>115</v>
      </c>
      <c r="C82" s="63">
        <f>(0.08*0.4*0.98)</f>
        <v>3.1359999999999999E-2</v>
      </c>
      <c r="D82" s="93">
        <f>TRUNC(($D$31*C82),2)</f>
        <v>80.5</v>
      </c>
    </row>
    <row r="83" spans="1:4">
      <c r="A83" s="12" t="s">
        <v>58</v>
      </c>
      <c r="C83" s="61">
        <f>SUM(C77:C82)</f>
        <v>0.47072222222222221</v>
      </c>
      <c r="D83" s="7">
        <f>TRUNC((SUM(D77:D82)),2)</f>
        <v>152.19999999999999</v>
      </c>
    </row>
    <row r="84" spans="1:4">
      <c r="A84" s="12"/>
      <c r="D84" s="7"/>
    </row>
    <row r="85" spans="1:4">
      <c r="A85" s="206" t="s">
        <v>228</v>
      </c>
      <c r="B85" s="206"/>
      <c r="C85" s="52" t="s">
        <v>219</v>
      </c>
      <c r="D85" s="53">
        <f>D31</f>
        <v>2567.25</v>
      </c>
    </row>
    <row r="86" spans="1:4">
      <c r="A86" s="206"/>
      <c r="B86" s="206"/>
      <c r="C86" s="54" t="s">
        <v>229</v>
      </c>
      <c r="D86" s="53">
        <f>D73</f>
        <v>2156.6</v>
      </c>
    </row>
    <row r="87" spans="1:4">
      <c r="A87" s="206"/>
      <c r="B87" s="206"/>
      <c r="C87" s="52" t="s">
        <v>230</v>
      </c>
      <c r="D87" s="53">
        <f>D83</f>
        <v>152.19999999999999</v>
      </c>
    </row>
    <row r="88" spans="1:4">
      <c r="A88" s="206"/>
      <c r="B88" s="206"/>
      <c r="C88" s="54" t="s">
        <v>221</v>
      </c>
      <c r="D88" s="55">
        <f>TRUNC((SUM(D85:D87)),2)</f>
        <v>4876.05</v>
      </c>
    </row>
    <row r="89" spans="1:4">
      <c r="A89" s="12"/>
      <c r="D89" s="7"/>
    </row>
    <row r="90" spans="1:4" ht="35.1" customHeight="1">
      <c r="A90" s="207" t="s">
        <v>127</v>
      </c>
      <c r="B90" s="207"/>
      <c r="C90" s="207"/>
      <c r="D90" s="207"/>
    </row>
    <row r="91" spans="1:4">
      <c r="A91" s="193" t="s">
        <v>128</v>
      </c>
      <c r="B91" s="193"/>
      <c r="C91" s="193"/>
      <c r="D91" s="193"/>
    </row>
    <row r="92" spans="1:4">
      <c r="A92" s="12" t="s">
        <v>129</v>
      </c>
      <c r="B92" t="s">
        <v>130</v>
      </c>
      <c r="C92" s="1" t="s">
        <v>38</v>
      </c>
      <c r="D92" s="1" t="s">
        <v>19</v>
      </c>
    </row>
    <row r="93" spans="1:4">
      <c r="A93" s="12" t="s">
        <v>42</v>
      </c>
      <c r="B93" t="s">
        <v>132</v>
      </c>
      <c r="C93" s="61">
        <f>(((1+1/3)/12)/12)+((1/12)/12)</f>
        <v>1.6203703703703703E-2</v>
      </c>
      <c r="D93" s="7">
        <f>TRUNC(($D$88*C93),2)</f>
        <v>79.010000000000005</v>
      </c>
    </row>
    <row r="94" spans="1:4">
      <c r="A94" s="12" t="s">
        <v>45</v>
      </c>
      <c r="B94" t="s">
        <v>133</v>
      </c>
      <c r="C94" s="56">
        <f>((5/30)/12)</f>
        <v>1.3888888888888888E-2</v>
      </c>
      <c r="D94" s="58">
        <f>TRUNC(($D$88*C94),2)</f>
        <v>67.72</v>
      </c>
    </row>
    <row r="95" spans="1:4">
      <c r="A95" s="12" t="s">
        <v>48</v>
      </c>
      <c r="B95" t="s">
        <v>134</v>
      </c>
      <c r="C95" s="56">
        <f>((5/30)/12)*0.02</f>
        <v>2.7777777777777778E-4</v>
      </c>
      <c r="D95" s="58">
        <f>TRUNC(($D$88*C95),2)</f>
        <v>1.35</v>
      </c>
    </row>
    <row r="96" spans="1:4" ht="30">
      <c r="A96" s="12" t="s">
        <v>50</v>
      </c>
      <c r="B96" s="95" t="s">
        <v>135</v>
      </c>
      <c r="C96" s="63">
        <f>((15/30)/12)*0.08</f>
        <v>3.3333333333333331E-3</v>
      </c>
      <c r="D96" s="58">
        <f>TRUNC(($D$88*C96),2)</f>
        <v>16.25</v>
      </c>
    </row>
    <row r="97" spans="1:4">
      <c r="A97" s="12" t="s">
        <v>53</v>
      </c>
      <c r="B97" t="s">
        <v>136</v>
      </c>
      <c r="C97" s="56">
        <f>((1+1/3)/12)*0.00001*((4/12))</f>
        <v>3.7037037037037031E-7</v>
      </c>
      <c r="D97" s="58">
        <f>TRUNC(($D$88*C97),2)</f>
        <v>0</v>
      </c>
    </row>
    <row r="98" spans="1:4">
      <c r="A98" s="12" t="s">
        <v>55</v>
      </c>
      <c r="B98" s="95" t="s">
        <v>231</v>
      </c>
      <c r="C98" s="96">
        <v>0</v>
      </c>
      <c r="D98" s="58">
        <f>TRUNC($D$88*C98)</f>
        <v>0</v>
      </c>
    </row>
    <row r="99" spans="1:4">
      <c r="A99" s="12" t="s">
        <v>58</v>
      </c>
      <c r="C99" s="61">
        <f>SUBTOTAL(109,Submódulo4.159_41[Percentual])</f>
        <v>3.3704074074074074E-2</v>
      </c>
      <c r="D99" s="7">
        <f>TRUNC((SUM(D93:D98)),2)</f>
        <v>164.33</v>
      </c>
    </row>
    <row r="100" spans="1:4">
      <c r="A100" s="12"/>
      <c r="C100" s="1"/>
      <c r="D100" s="7"/>
    </row>
    <row r="101" spans="1:4">
      <c r="A101" s="193" t="s">
        <v>144</v>
      </c>
      <c r="B101" s="193"/>
      <c r="C101" s="193"/>
      <c r="D101" s="193"/>
    </row>
    <row r="102" spans="1:4">
      <c r="A102" s="12" t="s">
        <v>145</v>
      </c>
      <c r="B102" t="s">
        <v>146</v>
      </c>
      <c r="C102" s="1" t="s">
        <v>18</v>
      </c>
      <c r="D102" s="1" t="s">
        <v>19</v>
      </c>
    </row>
    <row r="103" spans="1:4" ht="75">
      <c r="A103" s="12" t="s">
        <v>42</v>
      </c>
      <c r="B103" s="70" t="s">
        <v>147</v>
      </c>
      <c r="C103" s="71" t="s">
        <v>232</v>
      </c>
      <c r="D103" s="97" t="s">
        <v>233</v>
      </c>
    </row>
    <row r="104" spans="1:4">
      <c r="A104" s="12" t="s">
        <v>58</v>
      </c>
      <c r="C104" s="73"/>
      <c r="D104" s="74" t="str">
        <f>D103</f>
        <v>*=TRUNCAR(($D$86/220)*(1*(365/12))/2)</v>
      </c>
    </row>
    <row r="106" spans="1:4">
      <c r="A106" s="193" t="s">
        <v>148</v>
      </c>
      <c r="B106" s="193"/>
      <c r="C106" s="193"/>
      <c r="D106" s="193"/>
    </row>
    <row r="107" spans="1:4">
      <c r="A107" s="12" t="s">
        <v>149</v>
      </c>
      <c r="B107" t="s">
        <v>150</v>
      </c>
      <c r="C107" s="1" t="s">
        <v>18</v>
      </c>
      <c r="D107" s="1" t="s">
        <v>19</v>
      </c>
    </row>
    <row r="108" spans="1:4">
      <c r="A108" s="12" t="s">
        <v>129</v>
      </c>
      <c r="B108" t="s">
        <v>130</v>
      </c>
      <c r="D108" s="49">
        <f>D99</f>
        <v>164.33</v>
      </c>
    </row>
    <row r="109" spans="1:4">
      <c r="A109" s="12" t="s">
        <v>145</v>
      </c>
      <c r="B109" t="s">
        <v>151</v>
      </c>
      <c r="D109" s="75" t="str">
        <f>Submódulo4.260_42[[#Totals],[Valor]]</f>
        <v>*=TRUNCAR(($D$86/220)*(1*(365/12))/2)</v>
      </c>
    </row>
    <row r="110" spans="1:4" ht="45">
      <c r="A110" s="12" t="s">
        <v>58</v>
      </c>
      <c r="B110" s="16"/>
      <c r="C110" s="71" t="s">
        <v>234</v>
      </c>
      <c r="D110" s="76">
        <f>TRUNC((SUM(D108:D109)),2)</f>
        <v>164.33</v>
      </c>
    </row>
    <row r="112" spans="1:4">
      <c r="A112" s="198" t="s">
        <v>152</v>
      </c>
      <c r="B112" s="198"/>
      <c r="C112" s="198"/>
      <c r="D112" s="198"/>
    </row>
    <row r="113" spans="1:11" ht="30">
      <c r="A113" s="12" t="s">
        <v>153</v>
      </c>
      <c r="B113" t="s">
        <v>154</v>
      </c>
      <c r="C113" s="1" t="s">
        <v>18</v>
      </c>
      <c r="D113" s="1" t="s">
        <v>19</v>
      </c>
      <c r="H113" s="77" t="s">
        <v>235</v>
      </c>
      <c r="I113" s="78" t="s">
        <v>236</v>
      </c>
      <c r="J113" s="78" t="s">
        <v>237</v>
      </c>
      <c r="K113" s="78" t="s">
        <v>238</v>
      </c>
    </row>
    <row r="114" spans="1:11">
      <c r="A114" s="12" t="s">
        <v>42</v>
      </c>
      <c r="B114" t="s">
        <v>239</v>
      </c>
      <c r="D114" s="79">
        <f>F114</f>
        <v>0</v>
      </c>
      <c r="F114">
        <f t="array" ref="F114:G114">'Uniformes e EPI'!G36:H36</f>
        <v>0</v>
      </c>
      <c r="G114">
        <v>0</v>
      </c>
      <c r="H114" s="80" t="s">
        <v>240</v>
      </c>
      <c r="I114" s="81">
        <v>0</v>
      </c>
      <c r="J114" s="82">
        <v>70</v>
      </c>
      <c r="K114" s="82">
        <f>TRUNC(J114*I114,2)</f>
        <v>0</v>
      </c>
    </row>
    <row r="115" spans="1:11">
      <c r="A115" s="12" t="s">
        <v>45</v>
      </c>
      <c r="B115" t="s">
        <v>241</v>
      </c>
      <c r="D115" s="79">
        <v>0</v>
      </c>
      <c r="H115" s="83" t="s">
        <v>242</v>
      </c>
      <c r="I115" s="84">
        <v>0</v>
      </c>
      <c r="J115" s="53">
        <v>35</v>
      </c>
      <c r="K115" s="82">
        <f>TRUNC(J115*I115,2)</f>
        <v>0</v>
      </c>
    </row>
    <row r="116" spans="1:11">
      <c r="A116" s="12" t="s">
        <v>48</v>
      </c>
      <c r="B116" t="s">
        <v>156</v>
      </c>
      <c r="D116" s="79">
        <v>0</v>
      </c>
      <c r="H116" s="208" t="s">
        <v>221</v>
      </c>
      <c r="I116" s="208"/>
      <c r="J116" s="210">
        <f>TRUNC(SUM(K114:K115),2)</f>
        <v>0</v>
      </c>
      <c r="K116" s="210"/>
    </row>
    <row r="117" spans="1:11">
      <c r="A117" s="12" t="s">
        <v>50</v>
      </c>
      <c r="B117" t="s">
        <v>157</v>
      </c>
      <c r="D117" s="79">
        <v>0</v>
      </c>
      <c r="H117" s="208" t="s">
        <v>243</v>
      </c>
      <c r="I117" s="208"/>
      <c r="J117" s="210">
        <f>TRUNC(J116/12,2)</f>
        <v>0</v>
      </c>
      <c r="K117" s="210"/>
    </row>
    <row r="118" spans="1:11" ht="15" customHeight="1">
      <c r="A118" s="12" t="s">
        <v>53</v>
      </c>
      <c r="B118" t="s">
        <v>244</v>
      </c>
      <c r="D118" s="79">
        <f>J117</f>
        <v>0</v>
      </c>
      <c r="H118" s="212" t="str">
        <f>Pedreiro!H118</f>
        <v>* Valores estabelecidos em conformidade com as disposição da CCT n.° PB 000113/2025</v>
      </c>
      <c r="I118" s="212"/>
      <c r="J118" s="212"/>
      <c r="K118" s="212"/>
    </row>
    <row r="119" spans="1:11">
      <c r="A119" s="12" t="s">
        <v>58</v>
      </c>
      <c r="D119" s="65">
        <f>TRUNC(SUM(D114:D118),2)</f>
        <v>0</v>
      </c>
      <c r="H119" s="212"/>
      <c r="I119" s="212"/>
      <c r="J119" s="212"/>
      <c r="K119" s="212"/>
    </row>
    <row r="121" spans="1:11">
      <c r="A121" s="206" t="s">
        <v>245</v>
      </c>
      <c r="B121" s="206"/>
      <c r="C121" s="52" t="s">
        <v>219</v>
      </c>
      <c r="D121" s="53">
        <f>D31</f>
        <v>2567.25</v>
      </c>
    </row>
    <row r="122" spans="1:11">
      <c r="A122" s="206"/>
      <c r="B122" s="206"/>
      <c r="C122" s="54" t="s">
        <v>229</v>
      </c>
      <c r="D122" s="53">
        <f>D73</f>
        <v>2156.6</v>
      </c>
    </row>
    <row r="123" spans="1:11">
      <c r="A123" s="206"/>
      <c r="B123" s="206"/>
      <c r="C123" s="52" t="s">
        <v>230</v>
      </c>
      <c r="D123" s="53">
        <f>D83</f>
        <v>152.19999999999999</v>
      </c>
    </row>
    <row r="124" spans="1:11">
      <c r="A124" s="206"/>
      <c r="B124" s="206"/>
      <c r="C124" s="54" t="s">
        <v>246</v>
      </c>
      <c r="D124" s="53">
        <f>D110</f>
        <v>164.33</v>
      </c>
    </row>
    <row r="125" spans="1:11">
      <c r="A125" s="206"/>
      <c r="B125" s="206"/>
      <c r="C125" s="52" t="s">
        <v>247</v>
      </c>
      <c r="D125" s="53">
        <f>D119</f>
        <v>0</v>
      </c>
    </row>
    <row r="126" spans="1:11">
      <c r="A126" s="206"/>
      <c r="B126" s="206"/>
      <c r="C126" s="54" t="s">
        <v>221</v>
      </c>
      <c r="D126" s="55">
        <f>TRUNC((SUM(D121:D125)),2)</f>
        <v>5040.38</v>
      </c>
    </row>
    <row r="128" spans="1:11">
      <c r="A128" s="198" t="s">
        <v>164</v>
      </c>
      <c r="B128" s="198"/>
      <c r="C128" s="198"/>
      <c r="D128" s="198"/>
    </row>
    <row r="129" spans="1:9">
      <c r="A129" s="12" t="s">
        <v>165</v>
      </c>
      <c r="B129" t="s">
        <v>166</v>
      </c>
      <c r="C129" s="1" t="s">
        <v>38</v>
      </c>
      <c r="D129" s="1" t="s">
        <v>19</v>
      </c>
      <c r="H129" s="209" t="s">
        <v>248</v>
      </c>
      <c r="I129" s="209"/>
    </row>
    <row r="130" spans="1:9">
      <c r="A130" s="12" t="s">
        <v>42</v>
      </c>
      <c r="B130" t="s">
        <v>167</v>
      </c>
      <c r="C130" s="56">
        <f>Módulo663_59105[[#This Row],[Percentual]]</f>
        <v>0</v>
      </c>
      <c r="D130" s="49">
        <f>TRUNC(($D$126*C130),2)</f>
        <v>0</v>
      </c>
      <c r="H130" s="80" t="s">
        <v>249</v>
      </c>
      <c r="I130" s="63">
        <f>C132</f>
        <v>0.14250000000000002</v>
      </c>
    </row>
    <row r="131" spans="1:9">
      <c r="A131" s="12" t="s">
        <v>45</v>
      </c>
      <c r="B131" t="s">
        <v>59</v>
      </c>
      <c r="C131" s="56">
        <f>Módulo663_59105[[#This Row],[Percentual]]</f>
        <v>0</v>
      </c>
      <c r="D131" s="49">
        <f>TRUNC((C131*(D126+D130)),2)</f>
        <v>0</v>
      </c>
      <c r="H131" s="86" t="s">
        <v>250</v>
      </c>
      <c r="I131" s="98">
        <f>TRUNC(SUM(D126,D130,D131),2)</f>
        <v>5040.38</v>
      </c>
    </row>
    <row r="132" spans="1:9">
      <c r="A132" s="12" t="s">
        <v>48</v>
      </c>
      <c r="B132" t="s">
        <v>168</v>
      </c>
      <c r="C132" s="56">
        <f>SUM(C133:C135)</f>
        <v>0.14250000000000002</v>
      </c>
      <c r="D132" s="49">
        <f>TRUNC((SUM(D133:D135)),2)</f>
        <v>786.26</v>
      </c>
      <c r="H132" s="80" t="s">
        <v>251</v>
      </c>
      <c r="I132" s="88">
        <f>(100-8.65)/100</f>
        <v>0.91349999999999998</v>
      </c>
    </row>
    <row r="133" spans="1:9">
      <c r="A133" s="12"/>
      <c r="B133" t="s">
        <v>252</v>
      </c>
      <c r="C133" s="56">
        <f>Módulo663_59105[[#This Row],[Percentual]]</f>
        <v>1.6500000000000001E-2</v>
      </c>
      <c r="D133" s="49">
        <f>TRUNC(($I$133*C133),2)</f>
        <v>91.04</v>
      </c>
      <c r="H133" s="86" t="s">
        <v>248</v>
      </c>
      <c r="I133" s="98">
        <f>TRUNC((I131/I132),2)</f>
        <v>5517.65</v>
      </c>
    </row>
    <row r="134" spans="1:9">
      <c r="A134" s="12"/>
      <c r="B134" t="s">
        <v>253</v>
      </c>
      <c r="C134" s="56">
        <f>Módulo663_59105[[#This Row],[Percentual]]</f>
        <v>7.5999999999999998E-2</v>
      </c>
      <c r="D134" s="49">
        <f>TRUNC(($I$133*C134),2)</f>
        <v>419.34</v>
      </c>
    </row>
    <row r="135" spans="1:9">
      <c r="A135" s="12"/>
      <c r="B135" t="s">
        <v>254</v>
      </c>
      <c r="C135" s="56">
        <f>Módulo663_59105[[#This Row],[Percentual]]</f>
        <v>0.05</v>
      </c>
      <c r="D135" s="49">
        <f>TRUNC(($I$133*C135),2)</f>
        <v>275.88</v>
      </c>
    </row>
    <row r="136" spans="1:9">
      <c r="A136" s="12" t="s">
        <v>58</v>
      </c>
      <c r="C136" s="1"/>
      <c r="D136" s="7">
        <f>TRUNC(SUM(D130:D132),2)</f>
        <v>786.26</v>
      </c>
    </row>
    <row r="137" spans="1:9">
      <c r="A137" s="12"/>
      <c r="C137" s="1"/>
      <c r="D137" s="7"/>
    </row>
    <row r="139" spans="1:9">
      <c r="A139" s="198" t="s">
        <v>172</v>
      </c>
      <c r="B139" s="198"/>
      <c r="C139" s="198"/>
      <c r="D139" s="198"/>
    </row>
    <row r="140" spans="1:9">
      <c r="A140" s="12" t="s">
        <v>16</v>
      </c>
      <c r="B140" s="1" t="s">
        <v>173</v>
      </c>
      <c r="C140" s="1" t="s">
        <v>102</v>
      </c>
      <c r="D140" s="1" t="s">
        <v>19</v>
      </c>
    </row>
    <row r="141" spans="1:9">
      <c r="A141" s="12" t="s">
        <v>42</v>
      </c>
      <c r="B141" t="s">
        <v>36</v>
      </c>
      <c r="D141" s="7">
        <f>D31</f>
        <v>2567.25</v>
      </c>
    </row>
    <row r="142" spans="1:9">
      <c r="A142" s="12" t="s">
        <v>45</v>
      </c>
      <c r="B142" t="s">
        <v>61</v>
      </c>
      <c r="D142" s="7">
        <f>D73</f>
        <v>2156.6</v>
      </c>
    </row>
    <row r="143" spans="1:9">
      <c r="A143" s="12" t="s">
        <v>48</v>
      </c>
      <c r="B143" t="s">
        <v>108</v>
      </c>
      <c r="D143" s="7">
        <f>D83</f>
        <v>152.19999999999999</v>
      </c>
    </row>
    <row r="144" spans="1:9">
      <c r="A144" s="12" t="s">
        <v>50</v>
      </c>
      <c r="B144" t="s">
        <v>174</v>
      </c>
      <c r="D144" s="7">
        <f>D110</f>
        <v>164.33</v>
      </c>
    </row>
    <row r="145" spans="1:4">
      <c r="A145" s="12" t="s">
        <v>53</v>
      </c>
      <c r="B145" t="s">
        <v>152</v>
      </c>
      <c r="D145" s="7">
        <f>D119</f>
        <v>0</v>
      </c>
    </row>
    <row r="146" spans="1:4">
      <c r="B146" s="89" t="s">
        <v>255</v>
      </c>
      <c r="D146" s="7">
        <f>TRUNC(SUM(D141:D145),2)</f>
        <v>5040.38</v>
      </c>
    </row>
    <row r="147" spans="1:4">
      <c r="A147" s="12" t="s">
        <v>55</v>
      </c>
      <c r="B147" t="s">
        <v>164</v>
      </c>
      <c r="D147" s="7">
        <f>D136</f>
        <v>786.26</v>
      </c>
    </row>
    <row r="148" spans="1:4">
      <c r="A148" s="90"/>
      <c r="B148" s="91" t="s">
        <v>256</v>
      </c>
      <c r="C148" s="20"/>
      <c r="D148" s="92">
        <f>TRUNC((SUM(D141:D145)+D147),2)</f>
        <v>5826.64</v>
      </c>
    </row>
  </sheetData>
  <mergeCells count="38">
    <mergeCell ref="A128:D128"/>
    <mergeCell ref="H129:I129"/>
    <mergeCell ref="A139:D139"/>
    <mergeCell ref="J116:K116"/>
    <mergeCell ref="H117:I117"/>
    <mergeCell ref="J117:K117"/>
    <mergeCell ref="H118:K119"/>
    <mergeCell ref="A121:B126"/>
    <mergeCell ref="A91:D91"/>
    <mergeCell ref="A101:D101"/>
    <mergeCell ref="A106:D106"/>
    <mergeCell ref="A112:D112"/>
    <mergeCell ref="H116:I116"/>
    <mergeCell ref="A57:D57"/>
    <mergeCell ref="A68:D68"/>
    <mergeCell ref="A75:D75"/>
    <mergeCell ref="A85:B88"/>
    <mergeCell ref="A90:D90"/>
    <mergeCell ref="H31:I31"/>
    <mergeCell ref="A33:D33"/>
    <mergeCell ref="A35:D35"/>
    <mergeCell ref="A41:B43"/>
    <mergeCell ref="A45:D45"/>
    <mergeCell ref="A14:B14"/>
    <mergeCell ref="A15:D15"/>
    <mergeCell ref="H15:I15"/>
    <mergeCell ref="H22:I22"/>
    <mergeCell ref="A23:D23"/>
    <mergeCell ref="C9:D9"/>
    <mergeCell ref="C10:D10"/>
    <mergeCell ref="A11:D11"/>
    <mergeCell ref="A12:B12"/>
    <mergeCell ref="A13:B13"/>
    <mergeCell ref="A2:D2"/>
    <mergeCell ref="A3:D3"/>
    <mergeCell ref="A6:D6"/>
    <mergeCell ref="C7:D7"/>
    <mergeCell ref="C8:D8"/>
  </mergeCells>
  <pageMargins left="0.25" right="0.25" top="0.75" bottom="0.75" header="0.511811023622047" footer="0.511811023622047"/>
  <pageSetup paperSize="9" scale="71" fitToHeight="0" orientation="portrait" horizontalDpi="300" verticalDpi="300"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K148"/>
  <sheetViews>
    <sheetView view="pageBreakPreview" topLeftCell="B115" zoomScaleNormal="100" workbookViewId="0">
      <selection activeCell="H120" sqref="H120"/>
    </sheetView>
  </sheetViews>
  <sheetFormatPr defaultColWidth="9.140625" defaultRowHeight="15"/>
  <cols>
    <col min="1" max="1" width="12.42578125" style="12" customWidth="1"/>
    <col min="2" max="2" width="50.28515625" customWidth="1"/>
    <col min="3" max="3" width="30.85546875" customWidth="1"/>
    <col min="4" max="4" width="37.42578125" customWidth="1"/>
    <col min="6" max="7" width="11.5703125" hidden="1" customWidth="1"/>
    <col min="8" max="8" width="22.85546875" customWidth="1"/>
    <col min="9" max="9" width="13.42578125" customWidth="1"/>
    <col min="10" max="10" width="11" customWidth="1"/>
    <col min="11" max="11" width="11.42578125" customWidth="1"/>
  </cols>
  <sheetData>
    <row r="2" spans="1:9" ht="18.75">
      <c r="A2" s="196" t="s">
        <v>194</v>
      </c>
      <c r="B2" s="196"/>
      <c r="C2" s="196"/>
      <c r="D2" s="196"/>
    </row>
    <row r="3" spans="1:9">
      <c r="A3" s="213" t="str">
        <f>Pedreiro!A3</f>
        <v>Processo Administrativo n.° 23324.000830.2025-46</v>
      </c>
      <c r="B3" s="213"/>
      <c r="C3" s="213"/>
      <c r="D3" s="213"/>
    </row>
    <row r="4" spans="1:9">
      <c r="A4" s="99" t="s">
        <v>195</v>
      </c>
      <c r="B4" s="33" t="s">
        <v>392</v>
      </c>
      <c r="C4" s="34"/>
      <c r="D4" s="34"/>
    </row>
    <row r="5" spans="1:9">
      <c r="A5" s="10"/>
      <c r="B5" s="36"/>
      <c r="C5" s="36"/>
      <c r="D5" s="36"/>
    </row>
    <row r="6" spans="1:9">
      <c r="A6" s="198" t="s">
        <v>196</v>
      </c>
      <c r="B6" s="198"/>
      <c r="C6" s="198"/>
      <c r="D6" s="198"/>
    </row>
    <row r="7" spans="1:9">
      <c r="A7" s="37" t="s">
        <v>42</v>
      </c>
      <c r="B7" s="38" t="s">
        <v>197</v>
      </c>
      <c r="C7" s="199" t="s">
        <v>198</v>
      </c>
      <c r="D7" s="199"/>
    </row>
    <row r="8" spans="1:9">
      <c r="A8" s="39" t="s">
        <v>45</v>
      </c>
      <c r="B8" s="40" t="s">
        <v>199</v>
      </c>
      <c r="C8" s="200" t="s">
        <v>200</v>
      </c>
      <c r="D8" s="200"/>
    </row>
    <row r="9" spans="1:9">
      <c r="A9" s="42" t="s">
        <v>48</v>
      </c>
      <c r="B9" s="43" t="s">
        <v>201</v>
      </c>
      <c r="C9" s="200" t="str">
        <f>Pedreiro!C9</f>
        <v>CCT PB000113/2025</v>
      </c>
      <c r="D9" s="200"/>
    </row>
    <row r="10" spans="1:9">
      <c r="A10" s="39" t="s">
        <v>53</v>
      </c>
      <c r="B10" s="40" t="s">
        <v>202</v>
      </c>
      <c r="C10" s="200" t="s">
        <v>203</v>
      </c>
      <c r="D10" s="200"/>
    </row>
    <row r="11" spans="1:9">
      <c r="A11" s="202" t="s">
        <v>204</v>
      </c>
      <c r="B11" s="202"/>
      <c r="C11" s="202"/>
      <c r="D11" s="202"/>
    </row>
    <row r="12" spans="1:9" ht="15" customHeight="1">
      <c r="A12" s="203" t="s">
        <v>205</v>
      </c>
      <c r="B12" s="203"/>
      <c r="C12" s="44" t="s">
        <v>206</v>
      </c>
      <c r="D12" s="45" t="s">
        <v>207</v>
      </c>
    </row>
    <row r="13" spans="1:9">
      <c r="A13" s="204" t="s">
        <v>260</v>
      </c>
      <c r="B13" s="204"/>
      <c r="C13" s="41" t="s">
        <v>209</v>
      </c>
      <c r="D13" s="46">
        <f>RESUMO!D5</f>
        <v>1</v>
      </c>
    </row>
    <row r="14" spans="1:9">
      <c r="A14" s="205"/>
      <c r="B14" s="205"/>
      <c r="C14" s="41"/>
      <c r="D14" s="47"/>
    </row>
    <row r="15" spans="1:9">
      <c r="A15" s="202" t="s">
        <v>14</v>
      </c>
      <c r="B15" s="202"/>
      <c r="C15" s="202"/>
      <c r="D15" s="202"/>
      <c r="H15" s="190"/>
      <c r="I15" s="190"/>
    </row>
    <row r="16" spans="1:9">
      <c r="A16" s="12" t="s">
        <v>16</v>
      </c>
      <c r="B16" t="s">
        <v>17</v>
      </c>
      <c r="C16" s="1" t="s">
        <v>18</v>
      </c>
      <c r="D16" s="1" t="s">
        <v>19</v>
      </c>
    </row>
    <row r="17" spans="1:9">
      <c r="A17" s="12">
        <v>1</v>
      </c>
      <c r="B17" t="s">
        <v>20</v>
      </c>
      <c r="C17" s="4" t="s">
        <v>102</v>
      </c>
      <c r="D17" s="4" t="str">
        <f>A13</f>
        <v>Pintor</v>
      </c>
    </row>
    <row r="18" spans="1:9">
      <c r="A18" s="12">
        <v>2</v>
      </c>
      <c r="B18" t="s">
        <v>23</v>
      </c>
      <c r="C18" s="4" t="s">
        <v>210</v>
      </c>
      <c r="D18" s="4" t="s">
        <v>261</v>
      </c>
    </row>
    <row r="19" spans="1:9">
      <c r="A19" s="12">
        <v>3</v>
      </c>
      <c r="B19" t="s">
        <v>26</v>
      </c>
      <c r="C19" s="48" t="str">
        <f>C9</f>
        <v>CCT PB000113/2025</v>
      </c>
      <c r="D19" s="49">
        <v>1974.81</v>
      </c>
    </row>
    <row r="20" spans="1:9">
      <c r="A20" s="12">
        <v>4</v>
      </c>
      <c r="B20" t="s">
        <v>29</v>
      </c>
      <c r="C20" s="48" t="str">
        <f>C9</f>
        <v>CCT PB000113/2025</v>
      </c>
      <c r="D20" s="4" t="s">
        <v>212</v>
      </c>
    </row>
    <row r="21" spans="1:9">
      <c r="A21" s="12">
        <v>5</v>
      </c>
      <c r="B21" t="s">
        <v>33</v>
      </c>
      <c r="C21" s="48" t="str">
        <f>C9</f>
        <v>CCT PB000113/2025</v>
      </c>
      <c r="D21" s="50" t="s">
        <v>213</v>
      </c>
    </row>
    <row r="22" spans="1:9">
      <c r="H22" s="190"/>
      <c r="I22" s="190"/>
    </row>
    <row r="23" spans="1:9">
      <c r="A23" s="198" t="s">
        <v>36</v>
      </c>
      <c r="B23" s="198"/>
      <c r="C23" s="198"/>
      <c r="D23" s="198"/>
    </row>
    <row r="24" spans="1:9">
      <c r="A24" s="12" t="s">
        <v>39</v>
      </c>
      <c r="B24" t="s">
        <v>40</v>
      </c>
      <c r="C24" s="1" t="s">
        <v>18</v>
      </c>
      <c r="D24" s="1" t="s">
        <v>19</v>
      </c>
      <c r="I24" s="6"/>
    </row>
    <row r="25" spans="1:9">
      <c r="A25" s="12" t="s">
        <v>42</v>
      </c>
      <c r="B25" t="s">
        <v>43</v>
      </c>
      <c r="C25" s="4" t="s">
        <v>214</v>
      </c>
      <c r="D25" s="49">
        <f>D19</f>
        <v>1974.81</v>
      </c>
      <c r="I25" s="6"/>
    </row>
    <row r="26" spans="1:9">
      <c r="A26" s="12" t="s">
        <v>45</v>
      </c>
      <c r="B26" t="s">
        <v>215</v>
      </c>
      <c r="C26" s="4"/>
      <c r="D26" s="49">
        <v>0</v>
      </c>
      <c r="I26" s="6"/>
    </row>
    <row r="27" spans="1:9">
      <c r="A27" s="12" t="s">
        <v>48</v>
      </c>
      <c r="B27" t="s">
        <v>216</v>
      </c>
      <c r="C27" s="4"/>
      <c r="D27" s="49">
        <v>0</v>
      </c>
    </row>
    <row r="28" spans="1:9">
      <c r="A28" s="12" t="s">
        <v>50</v>
      </c>
      <c r="B28" t="s">
        <v>51</v>
      </c>
      <c r="C28" s="4"/>
      <c r="D28" s="49">
        <v>0</v>
      </c>
    </row>
    <row r="29" spans="1:9">
      <c r="A29" s="12" t="s">
        <v>53</v>
      </c>
      <c r="B29" t="s">
        <v>54</v>
      </c>
      <c r="C29" s="4"/>
      <c r="D29" s="49">
        <v>0</v>
      </c>
    </row>
    <row r="30" spans="1:9">
      <c r="A30" s="12" t="s">
        <v>55</v>
      </c>
      <c r="B30" t="s">
        <v>56</v>
      </c>
      <c r="C30" s="4"/>
      <c r="D30" s="49">
        <v>0</v>
      </c>
    </row>
    <row r="31" spans="1:9">
      <c r="A31" s="12" t="s">
        <v>58</v>
      </c>
      <c r="C31" s="1"/>
      <c r="D31" s="7">
        <f>TRUNC((SUM(D25:D30)),2)</f>
        <v>1974.81</v>
      </c>
      <c r="H31" s="190"/>
      <c r="I31" s="190"/>
    </row>
    <row r="32" spans="1:9">
      <c r="B32" s="51" t="s">
        <v>217</v>
      </c>
    </row>
    <row r="33" spans="1:9">
      <c r="A33" s="206" t="s">
        <v>61</v>
      </c>
      <c r="B33" s="206"/>
      <c r="C33" s="206"/>
      <c r="D33" s="206"/>
      <c r="I33" s="6"/>
    </row>
    <row r="35" spans="1:9">
      <c r="A35" s="193" t="s">
        <v>63</v>
      </c>
      <c r="B35" s="193"/>
      <c r="C35" s="193"/>
      <c r="D35" s="193"/>
    </row>
    <row r="36" spans="1:9">
      <c r="A36" s="12" t="s">
        <v>65</v>
      </c>
      <c r="B36" t="s">
        <v>66</v>
      </c>
      <c r="C36" s="1" t="s">
        <v>38</v>
      </c>
      <c r="D36" s="1" t="s">
        <v>19</v>
      </c>
    </row>
    <row r="37" spans="1:9">
      <c r="A37" s="12" t="s">
        <v>42</v>
      </c>
      <c r="B37" t="s">
        <v>67</v>
      </c>
      <c r="C37" s="17">
        <f>(1/12)</f>
        <v>8.3333333333333329E-2</v>
      </c>
      <c r="D37" s="7">
        <f>TRUNC($D$31*C37,2)</f>
        <v>164.56</v>
      </c>
    </row>
    <row r="38" spans="1:9">
      <c r="A38" s="12" t="s">
        <v>45</v>
      </c>
      <c r="B38" t="s">
        <v>68</v>
      </c>
      <c r="C38" s="17">
        <f>(((1+1/3)/12))</f>
        <v>0.1111111111111111</v>
      </c>
      <c r="D38" s="7">
        <f>TRUNC($D$31*C38,2)</f>
        <v>219.42</v>
      </c>
    </row>
    <row r="39" spans="1:9">
      <c r="A39" s="12" t="s">
        <v>58</v>
      </c>
      <c r="D39" s="7">
        <f>TRUNC((SUM(D37:D38)),2)</f>
        <v>383.98</v>
      </c>
    </row>
    <row r="40" spans="1:9">
      <c r="D40" s="7"/>
    </row>
    <row r="41" spans="1:9">
      <c r="A41" s="206" t="s">
        <v>218</v>
      </c>
      <c r="B41" s="206"/>
      <c r="C41" s="52" t="s">
        <v>219</v>
      </c>
      <c r="D41" s="53">
        <f>D31</f>
        <v>1974.81</v>
      </c>
    </row>
    <row r="42" spans="1:9">
      <c r="A42" s="206"/>
      <c r="B42" s="206"/>
      <c r="C42" s="54" t="s">
        <v>220</v>
      </c>
      <c r="D42" s="53">
        <f>D39</f>
        <v>383.98</v>
      </c>
    </row>
    <row r="43" spans="1:9">
      <c r="A43" s="206"/>
      <c r="B43" s="206"/>
      <c r="C43" s="52" t="s">
        <v>221</v>
      </c>
      <c r="D43" s="55">
        <f>TRUNC(SUM(D41:D42),2)</f>
        <v>2358.79</v>
      </c>
    </row>
    <row r="44" spans="1:9">
      <c r="C44" s="18"/>
      <c r="D44" s="7"/>
    </row>
    <row r="45" spans="1:9">
      <c r="A45" s="193" t="s">
        <v>77</v>
      </c>
      <c r="B45" s="193"/>
      <c r="C45" s="193"/>
      <c r="D45" s="193"/>
    </row>
    <row r="46" spans="1:9">
      <c r="A46" s="12" t="s">
        <v>78</v>
      </c>
      <c r="B46" t="s">
        <v>79</v>
      </c>
      <c r="C46" s="1" t="s">
        <v>38</v>
      </c>
      <c r="D46" s="1" t="s">
        <v>80</v>
      </c>
    </row>
    <row r="47" spans="1:9">
      <c r="A47" s="12" t="s">
        <v>42</v>
      </c>
      <c r="B47" t="s">
        <v>81</v>
      </c>
      <c r="C47" s="17">
        <v>0.2</v>
      </c>
      <c r="D47" s="94">
        <f t="shared" ref="D47:D54" si="0">TRUNC(($D$43*C47),2)</f>
        <v>471.75</v>
      </c>
    </row>
    <row r="48" spans="1:9">
      <c r="A48" s="12" t="s">
        <v>45</v>
      </c>
      <c r="B48" t="s">
        <v>82</v>
      </c>
      <c r="C48" s="17">
        <v>2.5000000000000001E-2</v>
      </c>
      <c r="D48" s="94">
        <f t="shared" si="0"/>
        <v>58.96</v>
      </c>
    </row>
    <row r="49" spans="1:8">
      <c r="A49" s="12" t="s">
        <v>48</v>
      </c>
      <c r="B49" t="s">
        <v>222</v>
      </c>
      <c r="C49" s="164">
        <v>0</v>
      </c>
      <c r="D49" s="165">
        <f t="shared" si="0"/>
        <v>0</v>
      </c>
    </row>
    <row r="50" spans="1:8">
      <c r="A50" s="12" t="s">
        <v>50</v>
      </c>
      <c r="B50" t="s">
        <v>84</v>
      </c>
      <c r="C50" s="17">
        <v>1.4999999999999999E-2</v>
      </c>
      <c r="D50" s="94">
        <f t="shared" si="0"/>
        <v>35.380000000000003</v>
      </c>
    </row>
    <row r="51" spans="1:8">
      <c r="A51" s="12" t="s">
        <v>53</v>
      </c>
      <c r="B51" t="s">
        <v>85</v>
      </c>
      <c r="C51" s="17">
        <v>0.01</v>
      </c>
      <c r="D51" s="94">
        <f t="shared" si="0"/>
        <v>23.58</v>
      </c>
    </row>
    <row r="52" spans="1:8">
      <c r="A52" s="12" t="s">
        <v>55</v>
      </c>
      <c r="B52" t="s">
        <v>86</v>
      </c>
      <c r="C52" s="17">
        <v>6.0000000000000001E-3</v>
      </c>
      <c r="D52" s="94">
        <f t="shared" si="0"/>
        <v>14.15</v>
      </c>
    </row>
    <row r="53" spans="1:8">
      <c r="A53" s="12" t="s">
        <v>87</v>
      </c>
      <c r="B53" t="s">
        <v>88</v>
      </c>
      <c r="C53" s="17">
        <v>2E-3</v>
      </c>
      <c r="D53" s="94">
        <f t="shared" si="0"/>
        <v>4.71</v>
      </c>
    </row>
    <row r="54" spans="1:8">
      <c r="A54" s="12" t="s">
        <v>89</v>
      </c>
      <c r="B54" t="s">
        <v>90</v>
      </c>
      <c r="C54" s="17">
        <v>0.08</v>
      </c>
      <c r="D54" s="94">
        <f t="shared" si="0"/>
        <v>188.7</v>
      </c>
    </row>
    <row r="55" spans="1:8">
      <c r="A55" s="12" t="s">
        <v>58</v>
      </c>
      <c r="C55" s="18">
        <f>SUM(C47:C54)</f>
        <v>0.33800000000000002</v>
      </c>
      <c r="D55" s="7">
        <f>TRUNC((SUM(D47:D54)),2)</f>
        <v>797.23</v>
      </c>
    </row>
    <row r="56" spans="1:8">
      <c r="C56" s="18"/>
      <c r="D56" s="7"/>
    </row>
    <row r="57" spans="1:8">
      <c r="A57" s="193" t="s">
        <v>95</v>
      </c>
      <c r="B57" s="193"/>
      <c r="C57" s="193"/>
      <c r="D57" s="193"/>
    </row>
    <row r="58" spans="1:8">
      <c r="A58" s="12" t="s">
        <v>96</v>
      </c>
      <c r="B58" t="s">
        <v>97</v>
      </c>
      <c r="C58" s="1" t="s">
        <v>18</v>
      </c>
      <c r="D58" s="1" t="s">
        <v>19</v>
      </c>
    </row>
    <row r="59" spans="1:8">
      <c r="A59" s="12" t="s">
        <v>42</v>
      </c>
      <c r="B59" t="s">
        <v>98</v>
      </c>
      <c r="C59" s="4"/>
      <c r="D59" s="49">
        <v>0</v>
      </c>
    </row>
    <row r="60" spans="1:8">
      <c r="A60" s="12" t="s">
        <v>45</v>
      </c>
      <c r="B60" t="s">
        <v>99</v>
      </c>
      <c r="C60" s="48" t="str">
        <f>C9</f>
        <v>CCT PB000113/2025</v>
      </c>
      <c r="D60" s="49">
        <f>Submódulo2.356_53112[[#This Row],[Valor]]</f>
        <v>540</v>
      </c>
    </row>
    <row r="61" spans="1:8">
      <c r="A61" s="12" t="s">
        <v>48</v>
      </c>
      <c r="B61" t="s">
        <v>100</v>
      </c>
      <c r="C61" s="48"/>
      <c r="D61" s="49">
        <v>0</v>
      </c>
    </row>
    <row r="62" spans="1:8">
      <c r="A62" s="12" t="s">
        <v>50</v>
      </c>
      <c r="B62" s="57" t="s">
        <v>223</v>
      </c>
      <c r="C62" s="100"/>
      <c r="D62" s="58">
        <v>0</v>
      </c>
      <c r="H62" s="16"/>
    </row>
    <row r="63" spans="1:8">
      <c r="A63" s="12" t="s">
        <v>53</v>
      </c>
      <c r="B63" t="s">
        <v>224</v>
      </c>
      <c r="C63" s="48" t="str">
        <f>C60</f>
        <v>CCT PB000113/2025</v>
      </c>
      <c r="D63" s="49">
        <v>25</v>
      </c>
    </row>
    <row r="64" spans="1:8">
      <c r="A64" s="12" t="s">
        <v>55</v>
      </c>
      <c r="B64" s="59" t="s">
        <v>225</v>
      </c>
      <c r="C64" s="48" t="str">
        <f>C9</f>
        <v>CCT PB000113/2025</v>
      </c>
      <c r="D64" s="49">
        <v>6</v>
      </c>
    </row>
    <row r="65" spans="1:4">
      <c r="A65" s="12" t="s">
        <v>87</v>
      </c>
      <c r="B65" s="59" t="s">
        <v>226</v>
      </c>
      <c r="C65" s="100" t="str">
        <f>C60</f>
        <v>CCT PB000113/2025</v>
      </c>
      <c r="D65" s="49">
        <v>50</v>
      </c>
    </row>
    <row r="66" spans="1:4">
      <c r="A66" s="12" t="s">
        <v>58</v>
      </c>
      <c r="D66" s="7">
        <f>TRUNC((SUM(D59:D65)),2)</f>
        <v>621</v>
      </c>
    </row>
    <row r="67" spans="1:4">
      <c r="D67" s="7"/>
    </row>
    <row r="68" spans="1:4">
      <c r="A68" s="193" t="s">
        <v>105</v>
      </c>
      <c r="B68" s="193"/>
      <c r="C68" s="193"/>
      <c r="D68" s="193"/>
    </row>
    <row r="69" spans="1:4">
      <c r="A69" s="12" t="s">
        <v>106</v>
      </c>
      <c r="B69" t="s">
        <v>107</v>
      </c>
      <c r="C69" s="1" t="s">
        <v>18</v>
      </c>
      <c r="D69" s="1" t="s">
        <v>19</v>
      </c>
    </row>
    <row r="70" spans="1:4">
      <c r="A70" s="12" t="s">
        <v>65</v>
      </c>
      <c r="B70" t="s">
        <v>66</v>
      </c>
      <c r="C70" s="1"/>
      <c r="D70" s="7">
        <f>D39</f>
        <v>383.98</v>
      </c>
    </row>
    <row r="71" spans="1:4">
      <c r="A71" s="12" t="s">
        <v>78</v>
      </c>
      <c r="B71" t="s">
        <v>79</v>
      </c>
      <c r="C71" s="1"/>
      <c r="D71" s="7">
        <f>D55</f>
        <v>797.23</v>
      </c>
    </row>
    <row r="72" spans="1:4">
      <c r="A72" s="12" t="s">
        <v>96</v>
      </c>
      <c r="B72" t="s">
        <v>97</v>
      </c>
      <c r="C72" s="1"/>
      <c r="D72" s="7">
        <f>D66</f>
        <v>621</v>
      </c>
    </row>
    <row r="73" spans="1:4">
      <c r="A73" s="12" t="s">
        <v>58</v>
      </c>
      <c r="C73" s="1"/>
      <c r="D73" s="7">
        <f>TRUNC((SUM(D70:D72)),2)</f>
        <v>1802.21</v>
      </c>
    </row>
    <row r="75" spans="1:4">
      <c r="A75" s="198" t="s">
        <v>108</v>
      </c>
      <c r="B75" s="198"/>
      <c r="C75" s="198"/>
      <c r="D75" s="198"/>
    </row>
    <row r="76" spans="1:4">
      <c r="A76" s="12" t="s">
        <v>109</v>
      </c>
      <c r="B76" t="s">
        <v>110</v>
      </c>
      <c r="C76" s="1" t="s">
        <v>38</v>
      </c>
      <c r="D76" s="1" t="s">
        <v>19</v>
      </c>
    </row>
    <row r="77" spans="1:4">
      <c r="A77" s="12" t="s">
        <v>42</v>
      </c>
      <c r="B77" t="s">
        <v>111</v>
      </c>
      <c r="C77" s="56">
        <f>((1/12)*2%)</f>
        <v>1.6666666666666666E-3</v>
      </c>
      <c r="D77" s="49">
        <f>TRUNC(($D$31*C77),2)</f>
        <v>3.29</v>
      </c>
    </row>
    <row r="78" spans="1:4">
      <c r="A78" s="12" t="s">
        <v>45</v>
      </c>
      <c r="B78" t="s">
        <v>112</v>
      </c>
      <c r="C78" s="61">
        <v>0.08</v>
      </c>
      <c r="D78" s="7">
        <f>TRUNC(($D$77*C78),2)</f>
        <v>0.26</v>
      </c>
    </row>
    <row r="79" spans="1:4" ht="30">
      <c r="A79" s="12" t="s">
        <v>48</v>
      </c>
      <c r="B79" s="95" t="s">
        <v>113</v>
      </c>
      <c r="C79" s="63">
        <f>(0.08*0.4*0.02)</f>
        <v>6.4000000000000005E-4</v>
      </c>
      <c r="D79" s="58">
        <f>TRUNC(($D$31*C79),2)</f>
        <v>1.26</v>
      </c>
    </row>
    <row r="80" spans="1:4">
      <c r="A80" s="12" t="s">
        <v>50</v>
      </c>
      <c r="B80" t="s">
        <v>114</v>
      </c>
      <c r="C80" s="61">
        <f>(((7/30)/12)*0.98)</f>
        <v>1.9055555555555555E-2</v>
      </c>
      <c r="D80" s="7">
        <f>TRUNC(($D$31*C80),2)</f>
        <v>37.630000000000003</v>
      </c>
    </row>
    <row r="81" spans="1:4" ht="30">
      <c r="A81" s="12" t="s">
        <v>53</v>
      </c>
      <c r="B81" s="95" t="s">
        <v>227</v>
      </c>
      <c r="C81" s="63">
        <f>C55</f>
        <v>0.33800000000000002</v>
      </c>
      <c r="D81" s="58">
        <f>TRUNC(($D$80*C81),2)</f>
        <v>12.71</v>
      </c>
    </row>
    <row r="82" spans="1:4" ht="30">
      <c r="A82" s="12" t="s">
        <v>55</v>
      </c>
      <c r="B82" s="95" t="s">
        <v>115</v>
      </c>
      <c r="C82" s="63">
        <f>(0.08*0.4*0.98)</f>
        <v>3.1359999999999999E-2</v>
      </c>
      <c r="D82" s="58">
        <f>TRUNC(($D$31*C82),2)</f>
        <v>61.93</v>
      </c>
    </row>
    <row r="83" spans="1:4">
      <c r="A83" s="12" t="s">
        <v>58</v>
      </c>
      <c r="C83" s="61">
        <f>SUM(C77:C82)</f>
        <v>0.47072222222222221</v>
      </c>
      <c r="D83" s="7">
        <f>TRUNC((SUM(D77:D82)),2)</f>
        <v>117.08</v>
      </c>
    </row>
    <row r="84" spans="1:4">
      <c r="D84" s="7"/>
    </row>
    <row r="85" spans="1:4">
      <c r="A85" s="206" t="s">
        <v>228</v>
      </c>
      <c r="B85" s="206"/>
      <c r="C85" s="52" t="s">
        <v>219</v>
      </c>
      <c r="D85" s="53">
        <f>D31</f>
        <v>1974.81</v>
      </c>
    </row>
    <row r="86" spans="1:4">
      <c r="A86" s="206"/>
      <c r="B86" s="206"/>
      <c r="C86" s="54" t="s">
        <v>229</v>
      </c>
      <c r="D86" s="53">
        <f>D73</f>
        <v>1802.21</v>
      </c>
    </row>
    <row r="87" spans="1:4">
      <c r="A87" s="206"/>
      <c r="B87" s="206"/>
      <c r="C87" s="52" t="s">
        <v>230</v>
      </c>
      <c r="D87" s="53">
        <f>D83</f>
        <v>117.08</v>
      </c>
    </row>
    <row r="88" spans="1:4">
      <c r="A88" s="206"/>
      <c r="B88" s="206"/>
      <c r="C88" s="54" t="s">
        <v>221</v>
      </c>
      <c r="D88" s="55">
        <f>TRUNC((SUM(D85:D87)),2)</f>
        <v>3894.1</v>
      </c>
    </row>
    <row r="89" spans="1:4">
      <c r="D89" s="7"/>
    </row>
    <row r="90" spans="1:4" ht="35.1" customHeight="1">
      <c r="A90" s="207" t="s">
        <v>127</v>
      </c>
      <c r="B90" s="207"/>
      <c r="C90" s="207"/>
      <c r="D90" s="207"/>
    </row>
    <row r="91" spans="1:4">
      <c r="A91" s="193" t="s">
        <v>128</v>
      </c>
      <c r="B91" s="193"/>
      <c r="C91" s="193"/>
      <c r="D91" s="193"/>
    </row>
    <row r="92" spans="1:4">
      <c r="A92" s="12" t="s">
        <v>129</v>
      </c>
      <c r="B92" t="s">
        <v>130</v>
      </c>
      <c r="C92" s="1" t="s">
        <v>38</v>
      </c>
      <c r="D92" s="1" t="s">
        <v>19</v>
      </c>
    </row>
    <row r="93" spans="1:4">
      <c r="A93" s="12" t="s">
        <v>42</v>
      </c>
      <c r="B93" t="s">
        <v>132</v>
      </c>
      <c r="C93" s="61">
        <f>(((1+1/3)/12)/12)+((1/12)/12)</f>
        <v>1.6203703703703703E-2</v>
      </c>
      <c r="D93" s="7">
        <f>TRUNC(($D$88*C93),2)</f>
        <v>63.09</v>
      </c>
    </row>
    <row r="94" spans="1:4">
      <c r="A94" s="12" t="s">
        <v>45</v>
      </c>
      <c r="B94" t="s">
        <v>133</v>
      </c>
      <c r="C94" s="56">
        <f>((5/30)/12)</f>
        <v>1.3888888888888888E-2</v>
      </c>
      <c r="D94" s="58">
        <f>TRUNC(($D$88*C94),2)</f>
        <v>54.08</v>
      </c>
    </row>
    <row r="95" spans="1:4">
      <c r="A95" s="12" t="s">
        <v>48</v>
      </c>
      <c r="B95" t="s">
        <v>134</v>
      </c>
      <c r="C95" s="56">
        <f>((5/30)/12)*0.02</f>
        <v>2.7777777777777778E-4</v>
      </c>
      <c r="D95" s="58">
        <f>TRUNC(($D$88*C95),2)</f>
        <v>1.08</v>
      </c>
    </row>
    <row r="96" spans="1:4" ht="30">
      <c r="A96" s="12" t="s">
        <v>50</v>
      </c>
      <c r="B96" s="95" t="s">
        <v>135</v>
      </c>
      <c r="C96" s="63">
        <f>((15/30)/12)*0.08</f>
        <v>3.3333333333333331E-3</v>
      </c>
      <c r="D96" s="58">
        <f>TRUNC(($D$88*C96),2)</f>
        <v>12.98</v>
      </c>
    </row>
    <row r="97" spans="1:4">
      <c r="A97" s="12" t="s">
        <v>53</v>
      </c>
      <c r="B97" t="s">
        <v>136</v>
      </c>
      <c r="C97" s="56">
        <f>((1+1/3)/12)*0.00001*((4/12))</f>
        <v>3.7037037037037031E-7</v>
      </c>
      <c r="D97" s="58">
        <f>TRUNC(($D$88*C97),2)</f>
        <v>0</v>
      </c>
    </row>
    <row r="98" spans="1:4" ht="30">
      <c r="A98" s="12" t="s">
        <v>55</v>
      </c>
      <c r="B98" s="95" t="s">
        <v>231</v>
      </c>
      <c r="C98" s="96">
        <v>0</v>
      </c>
      <c r="D98" s="58">
        <f>TRUNC($D$88*C98)</f>
        <v>0</v>
      </c>
    </row>
    <row r="99" spans="1:4">
      <c r="A99" s="12" t="s">
        <v>58</v>
      </c>
      <c r="C99" s="61">
        <f>SUBTOTAL(109,Submódulo4.159_54[Percentual])</f>
        <v>3.3704074074074074E-2</v>
      </c>
      <c r="D99" s="7">
        <f>TRUNC((SUM(D93:D98)),2)</f>
        <v>131.22999999999999</v>
      </c>
    </row>
    <row r="100" spans="1:4">
      <c r="C100" s="1"/>
      <c r="D100" s="7"/>
    </row>
    <row r="101" spans="1:4">
      <c r="A101" s="193" t="s">
        <v>144</v>
      </c>
      <c r="B101" s="193"/>
      <c r="C101" s="193"/>
      <c r="D101" s="193"/>
    </row>
    <row r="102" spans="1:4">
      <c r="A102" s="12" t="s">
        <v>145</v>
      </c>
      <c r="B102" t="s">
        <v>146</v>
      </c>
      <c r="C102" s="1" t="s">
        <v>18</v>
      </c>
      <c r="D102" s="1" t="s">
        <v>19</v>
      </c>
    </row>
    <row r="103" spans="1:4" ht="90">
      <c r="A103" s="12" t="s">
        <v>42</v>
      </c>
      <c r="B103" s="70" t="s">
        <v>147</v>
      </c>
      <c r="C103" s="71" t="s">
        <v>232</v>
      </c>
      <c r="D103" s="72" t="s">
        <v>233</v>
      </c>
    </row>
    <row r="104" spans="1:4">
      <c r="A104" s="12" t="s">
        <v>58</v>
      </c>
      <c r="C104" s="1"/>
      <c r="D104" s="74" t="str">
        <f>D103</f>
        <v>*=TRUNCAR(($D$86/220)*(1*(365/12))/2)</v>
      </c>
    </row>
    <row r="106" spans="1:4">
      <c r="A106" s="193" t="s">
        <v>148</v>
      </c>
      <c r="B106" s="193"/>
      <c r="C106" s="193"/>
      <c r="D106" s="193"/>
    </row>
    <row r="107" spans="1:4">
      <c r="A107" s="12" t="s">
        <v>149</v>
      </c>
      <c r="B107" t="s">
        <v>150</v>
      </c>
      <c r="C107" s="1" t="s">
        <v>18</v>
      </c>
      <c r="D107" s="1" t="s">
        <v>19</v>
      </c>
    </row>
    <row r="108" spans="1:4">
      <c r="A108" s="12" t="s">
        <v>129</v>
      </c>
      <c r="B108" t="s">
        <v>130</v>
      </c>
      <c r="D108" s="49">
        <f>D99</f>
        <v>131.22999999999999</v>
      </c>
    </row>
    <row r="109" spans="1:4">
      <c r="A109" s="12" t="s">
        <v>145</v>
      </c>
      <c r="B109" t="s">
        <v>151</v>
      </c>
      <c r="D109" s="75" t="str">
        <f>Submódulo4.260_55[[#Totals],[Valor]]</f>
        <v>*=TRUNCAR(($D$86/220)*(1*(365/12))/2)</v>
      </c>
    </row>
    <row r="110" spans="1:4" ht="60">
      <c r="A110" s="12" t="s">
        <v>58</v>
      </c>
      <c r="B110" s="16"/>
      <c r="C110" s="71" t="s">
        <v>234</v>
      </c>
      <c r="D110" s="76">
        <f>TRUNC((SUM(D108:D109)),2)</f>
        <v>131.22999999999999</v>
      </c>
    </row>
    <row r="112" spans="1:4">
      <c r="A112" s="198" t="s">
        <v>152</v>
      </c>
      <c r="B112" s="198"/>
      <c r="C112" s="198"/>
      <c r="D112" s="198"/>
    </row>
    <row r="113" spans="1:11" ht="30">
      <c r="A113" s="12" t="s">
        <v>153</v>
      </c>
      <c r="B113" s="16" t="s">
        <v>154</v>
      </c>
      <c r="C113" s="12" t="s">
        <v>18</v>
      </c>
      <c r="D113" s="12" t="s">
        <v>19</v>
      </c>
      <c r="H113" s="77" t="s">
        <v>235</v>
      </c>
      <c r="I113" s="78" t="s">
        <v>236</v>
      </c>
      <c r="J113" s="78" t="s">
        <v>237</v>
      </c>
      <c r="K113" s="78" t="s">
        <v>238</v>
      </c>
    </row>
    <row r="114" spans="1:11">
      <c r="A114" s="12" t="s">
        <v>42</v>
      </c>
      <c r="B114" t="s">
        <v>239</v>
      </c>
      <c r="D114" s="79">
        <f>F114</f>
        <v>0</v>
      </c>
      <c r="F114">
        <f t="array" ref="F114:G114">'Uniformes e EPI'!G52:H52</f>
        <v>0</v>
      </c>
      <c r="G114">
        <v>0</v>
      </c>
      <c r="H114" s="80" t="s">
        <v>240</v>
      </c>
      <c r="I114" s="81">
        <v>0</v>
      </c>
      <c r="J114" s="82">
        <v>70</v>
      </c>
      <c r="K114" s="82">
        <f>TRUNC(J114*I114,2)</f>
        <v>0</v>
      </c>
    </row>
    <row r="115" spans="1:11">
      <c r="A115" s="12" t="s">
        <v>45</v>
      </c>
      <c r="B115" t="s">
        <v>241</v>
      </c>
      <c r="D115" s="79">
        <v>0</v>
      </c>
      <c r="H115" s="83" t="s">
        <v>242</v>
      </c>
      <c r="I115" s="84">
        <v>0</v>
      </c>
      <c r="J115" s="53">
        <v>35</v>
      </c>
      <c r="K115" s="82">
        <f>TRUNC(J115*I115,2)</f>
        <v>0</v>
      </c>
    </row>
    <row r="116" spans="1:11">
      <c r="A116" s="12" t="s">
        <v>48</v>
      </c>
      <c r="B116" t="s">
        <v>156</v>
      </c>
      <c r="D116" s="79">
        <v>0</v>
      </c>
      <c r="H116" s="208" t="s">
        <v>221</v>
      </c>
      <c r="I116" s="208"/>
      <c r="J116" s="210">
        <f>TRUNC(SUM(K114:K115),2)</f>
        <v>0</v>
      </c>
      <c r="K116" s="210"/>
    </row>
    <row r="117" spans="1:11">
      <c r="A117" s="12" t="s">
        <v>50</v>
      </c>
      <c r="B117" t="s">
        <v>157</v>
      </c>
      <c r="D117" s="79">
        <v>0</v>
      </c>
      <c r="H117" s="208" t="s">
        <v>243</v>
      </c>
      <c r="I117" s="208"/>
      <c r="J117" s="210">
        <f>TRUNC(J116/12,2)</f>
        <v>0</v>
      </c>
      <c r="K117" s="210"/>
    </row>
    <row r="118" spans="1:11" ht="15" customHeight="1">
      <c r="A118" s="12" t="s">
        <v>53</v>
      </c>
      <c r="B118" t="s">
        <v>244</v>
      </c>
      <c r="D118" s="79">
        <v>0</v>
      </c>
      <c r="H118" s="212" t="str">
        <f>Pedreiro!H118</f>
        <v>* Valores estabelecidos em conformidade com as disposição da CCT n.° PB 000113/2025</v>
      </c>
      <c r="I118" s="212"/>
      <c r="J118" s="212"/>
      <c r="K118" s="212"/>
    </row>
    <row r="119" spans="1:11">
      <c r="A119" s="12" t="s">
        <v>58</v>
      </c>
      <c r="D119" s="65">
        <f>TRUNC(SUM(D114:D118),2)</f>
        <v>0</v>
      </c>
      <c r="H119" s="212"/>
      <c r="I119" s="212"/>
      <c r="J119" s="212"/>
      <c r="K119" s="212"/>
    </row>
    <row r="121" spans="1:11">
      <c r="A121" s="206" t="s">
        <v>245</v>
      </c>
      <c r="B121" s="206"/>
      <c r="C121" s="52" t="s">
        <v>219</v>
      </c>
      <c r="D121" s="53">
        <f>D31</f>
        <v>1974.81</v>
      </c>
    </row>
    <row r="122" spans="1:11">
      <c r="A122" s="206"/>
      <c r="B122" s="206"/>
      <c r="C122" s="54" t="s">
        <v>229</v>
      </c>
      <c r="D122" s="53">
        <f>D73</f>
        <v>1802.21</v>
      </c>
    </row>
    <row r="123" spans="1:11">
      <c r="A123" s="206"/>
      <c r="B123" s="206"/>
      <c r="C123" s="52" t="s">
        <v>230</v>
      </c>
      <c r="D123" s="53">
        <f>D83</f>
        <v>117.08</v>
      </c>
    </row>
    <row r="124" spans="1:11">
      <c r="A124" s="206"/>
      <c r="B124" s="206"/>
      <c r="C124" s="54" t="s">
        <v>246</v>
      </c>
      <c r="D124" s="53">
        <f>D110</f>
        <v>131.22999999999999</v>
      </c>
    </row>
    <row r="125" spans="1:11">
      <c r="A125" s="206"/>
      <c r="B125" s="206"/>
      <c r="C125" s="52" t="s">
        <v>247</v>
      </c>
      <c r="D125" s="53">
        <f>D119</f>
        <v>0</v>
      </c>
    </row>
    <row r="126" spans="1:11">
      <c r="A126" s="206"/>
      <c r="B126" s="206"/>
      <c r="C126" s="54" t="s">
        <v>221</v>
      </c>
      <c r="D126" s="55">
        <f>TRUNC((SUM(D121:D125)),2)</f>
        <v>4025.33</v>
      </c>
    </row>
    <row r="128" spans="1:11">
      <c r="A128" s="198" t="s">
        <v>164</v>
      </c>
      <c r="B128" s="198"/>
      <c r="C128" s="198"/>
      <c r="D128" s="198"/>
    </row>
    <row r="129" spans="1:9">
      <c r="A129" s="12" t="s">
        <v>165</v>
      </c>
      <c r="B129" t="s">
        <v>166</v>
      </c>
      <c r="C129" s="1" t="s">
        <v>38</v>
      </c>
      <c r="D129" s="1" t="s">
        <v>19</v>
      </c>
      <c r="H129" s="209" t="s">
        <v>248</v>
      </c>
      <c r="I129" s="209"/>
    </row>
    <row r="130" spans="1:9">
      <c r="A130" s="12" t="s">
        <v>42</v>
      </c>
      <c r="B130" t="s">
        <v>167</v>
      </c>
      <c r="C130" s="56">
        <f>Módulo663_59105[[#This Row],[Percentual]]</f>
        <v>0</v>
      </c>
      <c r="D130" s="49">
        <f>TRUNC(($D$126*C130),2)</f>
        <v>0</v>
      </c>
      <c r="H130" s="80" t="s">
        <v>249</v>
      </c>
      <c r="I130" s="63">
        <f>C132</f>
        <v>0.14250000000000002</v>
      </c>
    </row>
    <row r="131" spans="1:9">
      <c r="A131" s="12" t="s">
        <v>45</v>
      </c>
      <c r="B131" t="s">
        <v>59</v>
      </c>
      <c r="C131" s="56">
        <f>Módulo663_59105[[#This Row],[Percentual]]</f>
        <v>0</v>
      </c>
      <c r="D131" s="49">
        <f>TRUNC((C131*(D126+D130)),2)</f>
        <v>0</v>
      </c>
      <c r="H131" s="86" t="s">
        <v>250</v>
      </c>
      <c r="I131" s="87">
        <f>TRUNC(SUM(D126,D130,D131),2)</f>
        <v>4025.33</v>
      </c>
    </row>
    <row r="132" spans="1:9">
      <c r="A132" s="12" t="s">
        <v>48</v>
      </c>
      <c r="B132" t="s">
        <v>168</v>
      </c>
      <c r="C132" s="56">
        <f>SUM(C133:C135)</f>
        <v>0.14250000000000002</v>
      </c>
      <c r="D132" s="49">
        <f>TRUNC((SUM(D133:D135)),2)</f>
        <v>627.91</v>
      </c>
      <c r="H132" s="80" t="s">
        <v>251</v>
      </c>
      <c r="I132" s="88">
        <f>(100-8.65)/100</f>
        <v>0.91349999999999998</v>
      </c>
    </row>
    <row r="133" spans="1:9">
      <c r="B133" t="s">
        <v>252</v>
      </c>
      <c r="C133" s="56">
        <f>Módulo663_59105[[#This Row],[Percentual]]</f>
        <v>1.6500000000000001E-2</v>
      </c>
      <c r="D133" s="49">
        <f>TRUNC(($I$133*C133),2)</f>
        <v>72.7</v>
      </c>
      <c r="H133" s="86" t="s">
        <v>248</v>
      </c>
      <c r="I133" s="87">
        <f>TRUNC((I131/I132),2)</f>
        <v>4406.49</v>
      </c>
    </row>
    <row r="134" spans="1:9">
      <c r="B134" t="s">
        <v>253</v>
      </c>
      <c r="C134" s="56">
        <f>Módulo663_59105[[#This Row],[Percentual]]</f>
        <v>7.5999999999999998E-2</v>
      </c>
      <c r="D134" s="49">
        <f>TRUNC(($I$133*C134),2)</f>
        <v>334.89</v>
      </c>
    </row>
    <row r="135" spans="1:9">
      <c r="B135" t="s">
        <v>254</v>
      </c>
      <c r="C135" s="56">
        <f>Módulo663_59105[[#This Row],[Percentual]]</f>
        <v>0.05</v>
      </c>
      <c r="D135" s="49">
        <f>TRUNC(($I$133*C135),2)</f>
        <v>220.32</v>
      </c>
    </row>
    <row r="136" spans="1:9">
      <c r="A136" s="12" t="s">
        <v>58</v>
      </c>
      <c r="C136" s="1"/>
      <c r="D136" s="7">
        <f>TRUNC(SUM(D130:D132),2)</f>
        <v>627.91</v>
      </c>
    </row>
    <row r="137" spans="1:9">
      <c r="C137" s="1"/>
      <c r="D137" s="7"/>
    </row>
    <row r="139" spans="1:9">
      <c r="A139" s="198" t="s">
        <v>172</v>
      </c>
      <c r="B139" s="198"/>
      <c r="C139" s="198"/>
      <c r="D139" s="198"/>
    </row>
    <row r="140" spans="1:9">
      <c r="A140" s="12" t="s">
        <v>16</v>
      </c>
      <c r="B140" s="1" t="s">
        <v>173</v>
      </c>
      <c r="C140" s="1" t="s">
        <v>102</v>
      </c>
      <c r="D140" s="1" t="s">
        <v>19</v>
      </c>
    </row>
    <row r="141" spans="1:9">
      <c r="A141" s="12" t="s">
        <v>42</v>
      </c>
      <c r="B141" t="s">
        <v>36</v>
      </c>
      <c r="D141" s="7">
        <f>D31</f>
        <v>1974.81</v>
      </c>
    </row>
    <row r="142" spans="1:9">
      <c r="A142" s="12" t="s">
        <v>45</v>
      </c>
      <c r="B142" t="s">
        <v>61</v>
      </c>
      <c r="D142" s="7">
        <f>D73</f>
        <v>1802.21</v>
      </c>
    </row>
    <row r="143" spans="1:9">
      <c r="A143" s="12" t="s">
        <v>48</v>
      </c>
      <c r="B143" t="s">
        <v>108</v>
      </c>
      <c r="D143" s="7">
        <f>D83</f>
        <v>117.08</v>
      </c>
    </row>
    <row r="144" spans="1:9">
      <c r="A144" s="12" t="s">
        <v>50</v>
      </c>
      <c r="B144" t="s">
        <v>174</v>
      </c>
      <c r="D144" s="7">
        <f>D110</f>
        <v>131.22999999999999</v>
      </c>
    </row>
    <row r="145" spans="1:4">
      <c r="A145" s="12" t="s">
        <v>53</v>
      </c>
      <c r="B145" t="s">
        <v>152</v>
      </c>
      <c r="D145" s="7">
        <f>D119</f>
        <v>0</v>
      </c>
    </row>
    <row r="146" spans="1:4">
      <c r="B146" s="89" t="s">
        <v>255</v>
      </c>
      <c r="D146" s="7">
        <f>TRUNC(SUM(D141:D145),2)</f>
        <v>4025.33</v>
      </c>
    </row>
    <row r="147" spans="1:4">
      <c r="A147" s="12" t="s">
        <v>55</v>
      </c>
      <c r="B147" t="s">
        <v>164</v>
      </c>
      <c r="D147" s="7">
        <f>D136</f>
        <v>627.91</v>
      </c>
    </row>
    <row r="148" spans="1:4">
      <c r="A148" s="101"/>
      <c r="B148" s="91" t="s">
        <v>256</v>
      </c>
      <c r="C148" s="20"/>
      <c r="D148" s="92">
        <f>TRUNC((SUM(D141:D145)+D147),2)</f>
        <v>4653.24</v>
      </c>
    </row>
  </sheetData>
  <mergeCells count="38">
    <mergeCell ref="A128:D128"/>
    <mergeCell ref="H129:I129"/>
    <mergeCell ref="A139:D139"/>
    <mergeCell ref="J116:K116"/>
    <mergeCell ref="H117:I117"/>
    <mergeCell ref="J117:K117"/>
    <mergeCell ref="H118:K119"/>
    <mergeCell ref="A121:B126"/>
    <mergeCell ref="A91:D91"/>
    <mergeCell ref="A101:D101"/>
    <mergeCell ref="A106:D106"/>
    <mergeCell ref="A112:D112"/>
    <mergeCell ref="H116:I116"/>
    <mergeCell ref="A57:D57"/>
    <mergeCell ref="A68:D68"/>
    <mergeCell ref="A75:D75"/>
    <mergeCell ref="A85:B88"/>
    <mergeCell ref="A90:D90"/>
    <mergeCell ref="H31:I31"/>
    <mergeCell ref="A33:D33"/>
    <mergeCell ref="A35:D35"/>
    <mergeCell ref="A41:B43"/>
    <mergeCell ref="A45:D45"/>
    <mergeCell ref="A14:B14"/>
    <mergeCell ref="A15:D15"/>
    <mergeCell ref="H15:I15"/>
    <mergeCell ref="H22:I22"/>
    <mergeCell ref="A23:D23"/>
    <mergeCell ref="C9:D9"/>
    <mergeCell ref="C10:D10"/>
    <mergeCell ref="A11:D11"/>
    <mergeCell ref="A12:B12"/>
    <mergeCell ref="A13:B13"/>
    <mergeCell ref="A2:D2"/>
    <mergeCell ref="A3:D3"/>
    <mergeCell ref="A6:D6"/>
    <mergeCell ref="C7:D7"/>
    <mergeCell ref="C8:D8"/>
  </mergeCells>
  <pageMargins left="0.25" right="0.25" top="0.75" bottom="0.75" header="0.511811023622047" footer="0.511811023622047"/>
  <pageSetup paperSize="9" scale="76" fitToHeight="0" orientation="portrait" horizontalDpi="300" verticalDpi="300"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K148"/>
  <sheetViews>
    <sheetView view="pageBreakPreview" topLeftCell="A118" zoomScaleNormal="100" workbookViewId="0">
      <selection activeCell="H120" sqref="H120"/>
    </sheetView>
  </sheetViews>
  <sheetFormatPr defaultColWidth="9.140625" defaultRowHeight="15"/>
  <cols>
    <col min="1" max="1" width="10.5703125" style="12" customWidth="1"/>
    <col min="2" max="2" width="50.7109375" customWidth="1"/>
    <col min="3" max="3" width="28.7109375" customWidth="1"/>
    <col min="4" max="4" width="36.5703125" customWidth="1"/>
    <col min="6" max="7" width="11.5703125" hidden="1" customWidth="1"/>
    <col min="8" max="8" width="22.85546875" customWidth="1"/>
    <col min="9" max="9" width="12.85546875" customWidth="1"/>
    <col min="10" max="10" width="10" customWidth="1"/>
    <col min="11" max="11" width="11.42578125" customWidth="1"/>
  </cols>
  <sheetData>
    <row r="2" spans="1:9" ht="18.75">
      <c r="A2" s="196" t="s">
        <v>194</v>
      </c>
      <c r="B2" s="196"/>
      <c r="C2" s="196"/>
      <c r="D2" s="196"/>
    </row>
    <row r="3" spans="1:9">
      <c r="A3" s="213" t="str">
        <f>Pedreiro!A3</f>
        <v>Processo Administrativo n.° 23324.000830.2025-46</v>
      </c>
      <c r="B3" s="213"/>
      <c r="C3" s="213"/>
      <c r="D3" s="213"/>
    </row>
    <row r="4" spans="1:9" ht="21" customHeight="1">
      <c r="A4" s="102" t="s">
        <v>195</v>
      </c>
      <c r="B4" s="103" t="s">
        <v>392</v>
      </c>
      <c r="C4" s="34"/>
      <c r="D4" s="34"/>
    </row>
    <row r="5" spans="1:9">
      <c r="A5" s="10"/>
      <c r="B5" s="36"/>
      <c r="C5" s="36"/>
      <c r="D5" s="36"/>
    </row>
    <row r="6" spans="1:9">
      <c r="A6" s="198" t="s">
        <v>196</v>
      </c>
      <c r="B6" s="198"/>
      <c r="C6" s="198"/>
      <c r="D6" s="198"/>
    </row>
    <row r="7" spans="1:9">
      <c r="A7" s="37" t="s">
        <v>42</v>
      </c>
      <c r="B7" s="38" t="s">
        <v>197</v>
      </c>
      <c r="C7" s="199" t="s">
        <v>198</v>
      </c>
      <c r="D7" s="199"/>
    </row>
    <row r="8" spans="1:9">
      <c r="A8" s="39" t="s">
        <v>45</v>
      </c>
      <c r="B8" s="40" t="s">
        <v>199</v>
      </c>
      <c r="C8" s="200" t="s">
        <v>200</v>
      </c>
      <c r="D8" s="200"/>
    </row>
    <row r="9" spans="1:9">
      <c r="A9" s="42" t="s">
        <v>48</v>
      </c>
      <c r="B9" s="43" t="s">
        <v>201</v>
      </c>
      <c r="C9" s="200" t="str">
        <f>Pedreiro!C9</f>
        <v>CCT PB000113/2025</v>
      </c>
      <c r="D9" s="200"/>
    </row>
    <row r="10" spans="1:9">
      <c r="A10" s="39" t="s">
        <v>53</v>
      </c>
      <c r="B10" s="40" t="s">
        <v>202</v>
      </c>
      <c r="C10" s="200" t="s">
        <v>203</v>
      </c>
      <c r="D10" s="200"/>
    </row>
    <row r="11" spans="1:9">
      <c r="A11" s="202" t="s">
        <v>204</v>
      </c>
      <c r="B11" s="202"/>
      <c r="C11" s="202"/>
      <c r="D11" s="202"/>
    </row>
    <row r="12" spans="1:9" ht="15" customHeight="1">
      <c r="A12" s="203" t="s">
        <v>205</v>
      </c>
      <c r="B12" s="203"/>
      <c r="C12" s="44" t="s">
        <v>206</v>
      </c>
      <c r="D12" s="45" t="s">
        <v>207</v>
      </c>
    </row>
    <row r="13" spans="1:9">
      <c r="A13" s="214" t="s">
        <v>447</v>
      </c>
      <c r="B13" s="204"/>
      <c r="C13" s="41" t="s">
        <v>209</v>
      </c>
      <c r="D13" s="46">
        <f>RESUMO!D6</f>
        <v>1</v>
      </c>
    </row>
    <row r="14" spans="1:9">
      <c r="A14" s="205"/>
      <c r="B14" s="205"/>
      <c r="C14" s="41"/>
      <c r="D14" s="47"/>
    </row>
    <row r="15" spans="1:9">
      <c r="A15" s="202" t="s">
        <v>14</v>
      </c>
      <c r="B15" s="202"/>
      <c r="C15" s="202"/>
      <c r="D15" s="202"/>
      <c r="H15" s="190"/>
      <c r="I15" s="190"/>
    </row>
    <row r="16" spans="1:9">
      <c r="A16" s="12" t="s">
        <v>16</v>
      </c>
      <c r="B16" t="s">
        <v>17</v>
      </c>
      <c r="C16" s="1" t="s">
        <v>18</v>
      </c>
      <c r="D16" s="1" t="s">
        <v>19</v>
      </c>
    </row>
    <row r="17" spans="1:9" ht="30">
      <c r="A17" s="12">
        <v>1</v>
      </c>
      <c r="B17" s="12" t="s">
        <v>20</v>
      </c>
      <c r="C17" s="178" t="s">
        <v>102</v>
      </c>
      <c r="D17" s="179" t="str">
        <f>A13</f>
        <v>Técnico em Manutenção (Oficial de manutenção) Grupo VII CCT</v>
      </c>
    </row>
    <row r="18" spans="1:9">
      <c r="A18" s="12">
        <v>2</v>
      </c>
      <c r="B18" t="s">
        <v>23</v>
      </c>
      <c r="C18" s="4" t="s">
        <v>210</v>
      </c>
      <c r="D18" s="4" t="s">
        <v>262</v>
      </c>
    </row>
    <row r="19" spans="1:9">
      <c r="A19" s="12">
        <v>3</v>
      </c>
      <c r="B19" t="s">
        <v>26</v>
      </c>
      <c r="C19" s="4" t="str">
        <f>C9</f>
        <v>CCT PB000113/2025</v>
      </c>
      <c r="D19" s="49">
        <v>1974.81</v>
      </c>
    </row>
    <row r="20" spans="1:9">
      <c r="A20" s="12">
        <v>4</v>
      </c>
      <c r="B20" t="s">
        <v>29</v>
      </c>
      <c r="C20" s="4" t="str">
        <f>C9</f>
        <v>CCT PB000113/2025</v>
      </c>
      <c r="D20" s="4" t="s">
        <v>212</v>
      </c>
    </row>
    <row r="21" spans="1:9">
      <c r="A21" s="12">
        <v>5</v>
      </c>
      <c r="B21" t="s">
        <v>33</v>
      </c>
      <c r="C21" s="4" t="str">
        <f>C9</f>
        <v>CCT PB000113/2025</v>
      </c>
      <c r="D21" s="50" t="s">
        <v>213</v>
      </c>
    </row>
    <row r="22" spans="1:9">
      <c r="H22" s="190"/>
      <c r="I22" s="190"/>
    </row>
    <row r="23" spans="1:9">
      <c r="A23" s="198" t="s">
        <v>36</v>
      </c>
      <c r="B23" s="198"/>
      <c r="C23" s="198"/>
      <c r="D23" s="198"/>
    </row>
    <row r="24" spans="1:9">
      <c r="A24" s="12" t="s">
        <v>39</v>
      </c>
      <c r="B24" t="s">
        <v>40</v>
      </c>
      <c r="C24" s="1" t="s">
        <v>18</v>
      </c>
      <c r="D24" s="1" t="s">
        <v>19</v>
      </c>
      <c r="I24" s="6"/>
    </row>
    <row r="25" spans="1:9">
      <c r="A25" s="12" t="s">
        <v>42</v>
      </c>
      <c r="B25" t="s">
        <v>43</v>
      </c>
      <c r="C25" s="4" t="s">
        <v>214</v>
      </c>
      <c r="D25" s="49">
        <f>D19</f>
        <v>1974.81</v>
      </c>
      <c r="I25" s="6"/>
    </row>
    <row r="26" spans="1:9">
      <c r="A26" s="12" t="s">
        <v>45</v>
      </c>
      <c r="B26" t="s">
        <v>215</v>
      </c>
      <c r="C26" s="4" t="str">
        <f>Módulo153_39[[#This Row],[Comentário]]</f>
        <v>Lei n.° 12.740/2012 – NR 16 Anexo IV</v>
      </c>
      <c r="D26" s="49">
        <f>TRUNC((D25*30%),2)</f>
        <v>592.44000000000005</v>
      </c>
      <c r="I26" s="6"/>
    </row>
    <row r="27" spans="1:9">
      <c r="A27" s="12" t="s">
        <v>48</v>
      </c>
      <c r="B27" t="s">
        <v>216</v>
      </c>
      <c r="C27" s="4"/>
      <c r="D27" s="49">
        <v>0</v>
      </c>
    </row>
    <row r="28" spans="1:9">
      <c r="A28" s="12" t="s">
        <v>50</v>
      </c>
      <c r="B28" t="s">
        <v>51</v>
      </c>
      <c r="C28" s="4"/>
      <c r="D28" s="49">
        <v>0</v>
      </c>
    </row>
    <row r="29" spans="1:9">
      <c r="A29" s="12" t="s">
        <v>53</v>
      </c>
      <c r="B29" t="s">
        <v>54</v>
      </c>
      <c r="C29" s="4"/>
      <c r="D29" s="49">
        <v>0</v>
      </c>
    </row>
    <row r="30" spans="1:9">
      <c r="A30" s="12" t="s">
        <v>55</v>
      </c>
      <c r="B30" t="s">
        <v>56</v>
      </c>
      <c r="C30" s="4"/>
      <c r="D30" s="49">
        <v>0</v>
      </c>
    </row>
    <row r="31" spans="1:9">
      <c r="A31" s="12" t="s">
        <v>58</v>
      </c>
      <c r="C31" s="1"/>
      <c r="D31" s="7">
        <f>TRUNC((SUM(D25:D30)),2)</f>
        <v>2567.25</v>
      </c>
      <c r="H31" s="190"/>
      <c r="I31" s="190"/>
    </row>
    <row r="32" spans="1:9">
      <c r="B32" s="51" t="s">
        <v>217</v>
      </c>
    </row>
    <row r="33" spans="1:9">
      <c r="A33" s="206" t="s">
        <v>61</v>
      </c>
      <c r="B33" s="206"/>
      <c r="C33" s="206"/>
      <c r="D33" s="206"/>
      <c r="I33" s="6"/>
    </row>
    <row r="35" spans="1:9">
      <c r="A35" s="193" t="s">
        <v>63</v>
      </c>
      <c r="B35" s="193"/>
      <c r="C35" s="193"/>
      <c r="D35" s="193"/>
    </row>
    <row r="36" spans="1:9">
      <c r="A36" s="12" t="s">
        <v>65</v>
      </c>
      <c r="B36" t="s">
        <v>66</v>
      </c>
      <c r="C36" s="1" t="s">
        <v>38</v>
      </c>
      <c r="D36" s="1" t="s">
        <v>19</v>
      </c>
    </row>
    <row r="37" spans="1:9">
      <c r="A37" s="12" t="s">
        <v>42</v>
      </c>
      <c r="B37" t="s">
        <v>67</v>
      </c>
      <c r="C37" s="17">
        <f>(1/12)</f>
        <v>8.3333333333333329E-2</v>
      </c>
      <c r="D37" s="7">
        <f>TRUNC($D$31*C37,2)</f>
        <v>213.93</v>
      </c>
    </row>
    <row r="38" spans="1:9">
      <c r="A38" s="12" t="s">
        <v>45</v>
      </c>
      <c r="B38" t="s">
        <v>68</v>
      </c>
      <c r="C38" s="17">
        <f>(((1+1/3)/12))</f>
        <v>0.1111111111111111</v>
      </c>
      <c r="D38" s="7">
        <f>TRUNC($D$31*C38,2)</f>
        <v>285.25</v>
      </c>
    </row>
    <row r="39" spans="1:9">
      <c r="A39" s="12" t="s">
        <v>58</v>
      </c>
      <c r="D39" s="7">
        <f>TRUNC((SUM(D37:D38)),2)</f>
        <v>499.18</v>
      </c>
    </row>
    <row r="40" spans="1:9">
      <c r="D40" s="7"/>
    </row>
    <row r="41" spans="1:9">
      <c r="A41" s="206" t="s">
        <v>218</v>
      </c>
      <c r="B41" s="206"/>
      <c r="C41" s="52" t="s">
        <v>219</v>
      </c>
      <c r="D41" s="53">
        <f>D31</f>
        <v>2567.25</v>
      </c>
    </row>
    <row r="42" spans="1:9">
      <c r="A42" s="206"/>
      <c r="B42" s="206"/>
      <c r="C42" s="54" t="s">
        <v>220</v>
      </c>
      <c r="D42" s="53">
        <f>D39</f>
        <v>499.18</v>
      </c>
    </row>
    <row r="43" spans="1:9">
      <c r="A43" s="206"/>
      <c r="B43" s="206"/>
      <c r="C43" s="52" t="s">
        <v>221</v>
      </c>
      <c r="D43" s="55">
        <f>TRUNC((SUM(D41:D42)),2)</f>
        <v>3066.43</v>
      </c>
    </row>
    <row r="44" spans="1:9">
      <c r="C44" s="18"/>
      <c r="D44" s="7"/>
    </row>
    <row r="45" spans="1:9">
      <c r="A45" s="193" t="s">
        <v>77</v>
      </c>
      <c r="B45" s="193"/>
      <c r="C45" s="193"/>
      <c r="D45" s="193"/>
    </row>
    <row r="46" spans="1:9">
      <c r="A46" s="12" t="s">
        <v>78</v>
      </c>
      <c r="B46" t="s">
        <v>79</v>
      </c>
      <c r="C46" s="1" t="s">
        <v>38</v>
      </c>
      <c r="D46" s="1" t="s">
        <v>80</v>
      </c>
    </row>
    <row r="47" spans="1:9">
      <c r="A47" s="12" t="s">
        <v>42</v>
      </c>
      <c r="B47" t="s">
        <v>81</v>
      </c>
      <c r="C47" s="17">
        <v>0.2</v>
      </c>
      <c r="D47" s="7">
        <f t="shared" ref="D47:D54" si="0">TRUNC(($D$43*C47),2)</f>
        <v>613.28</v>
      </c>
    </row>
    <row r="48" spans="1:9">
      <c r="A48" s="12" t="s">
        <v>45</v>
      </c>
      <c r="B48" t="s">
        <v>82</v>
      </c>
      <c r="C48" s="17">
        <v>2.5000000000000001E-2</v>
      </c>
      <c r="D48" s="7">
        <f t="shared" si="0"/>
        <v>76.66</v>
      </c>
    </row>
    <row r="49" spans="1:8">
      <c r="A49" s="12" t="s">
        <v>48</v>
      </c>
      <c r="B49" t="s">
        <v>222</v>
      </c>
      <c r="C49" s="56">
        <v>0</v>
      </c>
      <c r="D49" s="49">
        <f t="shared" si="0"/>
        <v>0</v>
      </c>
    </row>
    <row r="50" spans="1:8">
      <c r="A50" s="12" t="s">
        <v>50</v>
      </c>
      <c r="B50" t="s">
        <v>84</v>
      </c>
      <c r="C50" s="17">
        <v>1.4999999999999999E-2</v>
      </c>
      <c r="D50" s="7">
        <f t="shared" si="0"/>
        <v>45.99</v>
      </c>
    </row>
    <row r="51" spans="1:8">
      <c r="A51" s="12" t="s">
        <v>53</v>
      </c>
      <c r="B51" t="s">
        <v>85</v>
      </c>
      <c r="C51" s="17">
        <v>0.01</v>
      </c>
      <c r="D51" s="7">
        <f t="shared" si="0"/>
        <v>30.66</v>
      </c>
    </row>
    <row r="52" spans="1:8">
      <c r="A52" s="12" t="s">
        <v>55</v>
      </c>
      <c r="B52" t="s">
        <v>86</v>
      </c>
      <c r="C52" s="17">
        <v>6.0000000000000001E-3</v>
      </c>
      <c r="D52" s="7">
        <f t="shared" si="0"/>
        <v>18.39</v>
      </c>
    </row>
    <row r="53" spans="1:8">
      <c r="A53" s="12" t="s">
        <v>87</v>
      </c>
      <c r="B53" t="s">
        <v>88</v>
      </c>
      <c r="C53" s="17">
        <v>2E-3</v>
      </c>
      <c r="D53" s="7">
        <f t="shared" si="0"/>
        <v>6.13</v>
      </c>
    </row>
    <row r="54" spans="1:8">
      <c r="A54" s="12" t="s">
        <v>89</v>
      </c>
      <c r="B54" t="s">
        <v>90</v>
      </c>
      <c r="C54" s="17">
        <v>0.08</v>
      </c>
      <c r="D54" s="7">
        <f t="shared" si="0"/>
        <v>245.31</v>
      </c>
    </row>
    <row r="55" spans="1:8">
      <c r="A55" s="12" t="s">
        <v>58</v>
      </c>
      <c r="C55" s="18">
        <f>SUM(C47:C54)</f>
        <v>0.33800000000000002</v>
      </c>
      <c r="D55" s="7">
        <f>TRUNC((SUM(D47:D54)),2)</f>
        <v>1036.42</v>
      </c>
    </row>
    <row r="56" spans="1:8">
      <c r="C56" s="18"/>
      <c r="D56" s="7"/>
    </row>
    <row r="57" spans="1:8">
      <c r="A57" s="193" t="s">
        <v>95</v>
      </c>
      <c r="B57" s="193"/>
      <c r="C57" s="193"/>
      <c r="D57" s="193"/>
    </row>
    <row r="58" spans="1:8">
      <c r="A58" s="12" t="s">
        <v>96</v>
      </c>
      <c r="B58" t="s">
        <v>97</v>
      </c>
      <c r="C58" s="1" t="s">
        <v>18</v>
      </c>
      <c r="D58" s="1" t="s">
        <v>19</v>
      </c>
    </row>
    <row r="59" spans="1:8">
      <c r="A59" s="12" t="s">
        <v>42</v>
      </c>
      <c r="B59" t="s">
        <v>98</v>
      </c>
      <c r="C59" s="4"/>
      <c r="D59" s="49">
        <v>0</v>
      </c>
    </row>
    <row r="60" spans="1:8">
      <c r="A60" s="12" t="s">
        <v>45</v>
      </c>
      <c r="B60" t="s">
        <v>99</v>
      </c>
      <c r="C60" s="4" t="str">
        <f>C9</f>
        <v>CCT PB000113/2025</v>
      </c>
      <c r="D60" s="49">
        <f>Submódulo2.356_53112[[#This Row],[Valor]]</f>
        <v>540</v>
      </c>
    </row>
    <row r="61" spans="1:8">
      <c r="A61" s="12" t="s">
        <v>48</v>
      </c>
      <c r="B61" t="s">
        <v>100</v>
      </c>
      <c r="C61" s="4"/>
      <c r="D61" s="49">
        <v>0</v>
      </c>
    </row>
    <row r="62" spans="1:8">
      <c r="A62" s="12" t="s">
        <v>50</v>
      </c>
      <c r="B62" s="57" t="s">
        <v>223</v>
      </c>
      <c r="C62" s="58"/>
      <c r="D62" s="58">
        <v>0</v>
      </c>
      <c r="H62" s="16"/>
    </row>
    <row r="63" spans="1:8">
      <c r="A63" s="12" t="s">
        <v>53</v>
      </c>
      <c r="B63" t="s">
        <v>224</v>
      </c>
      <c r="C63" s="4" t="str">
        <f>C60</f>
        <v>CCT PB000113/2025</v>
      </c>
      <c r="D63" s="49">
        <v>25</v>
      </c>
    </row>
    <row r="64" spans="1:8">
      <c r="A64" s="12" t="s">
        <v>55</v>
      </c>
      <c r="B64" s="59" t="s">
        <v>225</v>
      </c>
      <c r="C64" s="4" t="str">
        <f>C9</f>
        <v>CCT PB000113/2025</v>
      </c>
      <c r="D64" s="49">
        <v>6</v>
      </c>
    </row>
    <row r="65" spans="1:4">
      <c r="A65" s="12" t="s">
        <v>87</v>
      </c>
      <c r="B65" s="59" t="s">
        <v>226</v>
      </c>
      <c r="C65" s="58" t="str">
        <f>C60</f>
        <v>CCT PB000113/2025</v>
      </c>
      <c r="D65" s="49">
        <v>50</v>
      </c>
    </row>
    <row r="66" spans="1:4">
      <c r="A66" s="12" t="s">
        <v>58</v>
      </c>
      <c r="D66" s="7">
        <f>TRUNC((SUM(D59:D65)),2)</f>
        <v>621</v>
      </c>
    </row>
    <row r="67" spans="1:4">
      <c r="D67" s="7"/>
    </row>
    <row r="68" spans="1:4">
      <c r="A68" s="193" t="s">
        <v>105</v>
      </c>
      <c r="B68" s="193"/>
      <c r="C68" s="193"/>
      <c r="D68" s="193"/>
    </row>
    <row r="69" spans="1:4">
      <c r="A69" s="12" t="s">
        <v>106</v>
      </c>
      <c r="B69" t="s">
        <v>107</v>
      </c>
      <c r="C69" s="1" t="s">
        <v>18</v>
      </c>
      <c r="D69" s="1" t="s">
        <v>19</v>
      </c>
    </row>
    <row r="70" spans="1:4">
      <c r="A70" s="12" t="s">
        <v>65</v>
      </c>
      <c r="B70" t="s">
        <v>66</v>
      </c>
      <c r="C70" s="1"/>
      <c r="D70" s="7">
        <f>D39</f>
        <v>499.18</v>
      </c>
    </row>
    <row r="71" spans="1:4">
      <c r="A71" s="12" t="s">
        <v>78</v>
      </c>
      <c r="B71" t="s">
        <v>79</v>
      </c>
      <c r="C71" s="1"/>
      <c r="D71" s="7">
        <f>D55</f>
        <v>1036.42</v>
      </c>
    </row>
    <row r="72" spans="1:4">
      <c r="A72" s="12" t="s">
        <v>96</v>
      </c>
      <c r="B72" t="s">
        <v>97</v>
      </c>
      <c r="C72" s="1"/>
      <c r="D72" s="7">
        <f>D66</f>
        <v>621</v>
      </c>
    </row>
    <row r="73" spans="1:4">
      <c r="A73" s="12" t="s">
        <v>58</v>
      </c>
      <c r="C73" s="1"/>
      <c r="D73" s="7">
        <f>TRUNC((SUM(D70:D72)),2)</f>
        <v>2156.6</v>
      </c>
    </row>
    <row r="75" spans="1:4">
      <c r="A75" s="198" t="s">
        <v>108</v>
      </c>
      <c r="B75" s="198"/>
      <c r="C75" s="198"/>
      <c r="D75" s="198"/>
    </row>
    <row r="76" spans="1:4">
      <c r="A76" s="12" t="s">
        <v>109</v>
      </c>
      <c r="B76" s="104" t="s">
        <v>110</v>
      </c>
      <c r="C76" s="1" t="s">
        <v>38</v>
      </c>
      <c r="D76" s="1" t="s">
        <v>19</v>
      </c>
    </row>
    <row r="77" spans="1:4">
      <c r="A77" s="12" t="s">
        <v>42</v>
      </c>
      <c r="B77" s="104" t="s">
        <v>111</v>
      </c>
      <c r="C77" s="56">
        <f>((1/12)*2%)</f>
        <v>1.6666666666666666E-3</v>
      </c>
      <c r="D77" s="49">
        <f>TRUNC(($D$31*C77),2)</f>
        <v>4.2699999999999996</v>
      </c>
    </row>
    <row r="78" spans="1:4">
      <c r="A78" s="12" t="s">
        <v>45</v>
      </c>
      <c r="B78" s="104" t="s">
        <v>112</v>
      </c>
      <c r="C78" s="61">
        <v>0.08</v>
      </c>
      <c r="D78" s="7">
        <f>TRUNC(($D$77*C78),2)</f>
        <v>0.34</v>
      </c>
    </row>
    <row r="79" spans="1:4" ht="30">
      <c r="A79" s="12" t="s">
        <v>48</v>
      </c>
      <c r="B79" s="105" t="s">
        <v>113</v>
      </c>
      <c r="C79" s="63">
        <f>(0.08*0.4*0.02)</f>
        <v>6.4000000000000005E-4</v>
      </c>
      <c r="D79" s="58">
        <f>TRUNC(($D$31*C79),2)</f>
        <v>1.64</v>
      </c>
    </row>
    <row r="80" spans="1:4">
      <c r="A80" s="12" t="s">
        <v>50</v>
      </c>
      <c r="B80" s="104" t="s">
        <v>114</v>
      </c>
      <c r="C80" s="61">
        <f>(((7/30)/12)*0.98)</f>
        <v>1.9055555555555555E-2</v>
      </c>
      <c r="D80" s="7">
        <f>TRUNC(($D$31*C80),2)</f>
        <v>48.92</v>
      </c>
    </row>
    <row r="81" spans="1:4" ht="30">
      <c r="A81" s="12" t="s">
        <v>53</v>
      </c>
      <c r="B81" s="105" t="s">
        <v>227</v>
      </c>
      <c r="C81" s="63">
        <f>C55</f>
        <v>0.33800000000000002</v>
      </c>
      <c r="D81" s="58">
        <f>TRUNC(($D$80*C81),2)</f>
        <v>16.53</v>
      </c>
    </row>
    <row r="82" spans="1:4" ht="30">
      <c r="A82" s="12" t="s">
        <v>55</v>
      </c>
      <c r="B82" s="105" t="s">
        <v>115</v>
      </c>
      <c r="C82" s="63">
        <f>(0.08*0.4*0.98)</f>
        <v>3.1359999999999999E-2</v>
      </c>
      <c r="D82" s="58">
        <f>TRUNC(($D$31*C82),2)</f>
        <v>80.5</v>
      </c>
    </row>
    <row r="83" spans="1:4">
      <c r="A83" s="12" t="s">
        <v>58</v>
      </c>
      <c r="C83" s="61">
        <f>SUM(C77:C82)</f>
        <v>0.47072222222222221</v>
      </c>
      <c r="D83" s="7">
        <f>TRUNC((SUM(D77:D82)),2)</f>
        <v>152.19999999999999</v>
      </c>
    </row>
    <row r="84" spans="1:4">
      <c r="D84" s="7"/>
    </row>
    <row r="85" spans="1:4">
      <c r="A85" s="206" t="s">
        <v>228</v>
      </c>
      <c r="B85" s="206"/>
      <c r="C85" s="52" t="s">
        <v>219</v>
      </c>
      <c r="D85" s="53">
        <f>D31</f>
        <v>2567.25</v>
      </c>
    </row>
    <row r="86" spans="1:4">
      <c r="A86" s="206"/>
      <c r="B86" s="206"/>
      <c r="C86" s="54" t="s">
        <v>229</v>
      </c>
      <c r="D86" s="53">
        <f>D73</f>
        <v>2156.6</v>
      </c>
    </row>
    <row r="87" spans="1:4">
      <c r="A87" s="206"/>
      <c r="B87" s="206"/>
      <c r="C87" s="52" t="s">
        <v>230</v>
      </c>
      <c r="D87" s="53">
        <f>D83</f>
        <v>152.19999999999999</v>
      </c>
    </row>
    <row r="88" spans="1:4">
      <c r="A88" s="206"/>
      <c r="B88" s="206"/>
      <c r="C88" s="54" t="s">
        <v>221</v>
      </c>
      <c r="D88" s="55">
        <f>TRUNC((SUM(D85:D87)),2)</f>
        <v>4876.05</v>
      </c>
    </row>
    <row r="89" spans="1:4">
      <c r="D89" s="7"/>
    </row>
    <row r="90" spans="1:4" ht="35.1" customHeight="1">
      <c r="A90" s="207" t="s">
        <v>127</v>
      </c>
      <c r="B90" s="207"/>
      <c r="C90" s="207"/>
      <c r="D90" s="207"/>
    </row>
    <row r="91" spans="1:4">
      <c r="A91" s="193" t="s">
        <v>128</v>
      </c>
      <c r="B91" s="193"/>
      <c r="C91" s="193"/>
      <c r="D91" s="193"/>
    </row>
    <row r="92" spans="1:4">
      <c r="A92" s="12" t="s">
        <v>129</v>
      </c>
      <c r="B92" t="s">
        <v>130</v>
      </c>
      <c r="C92" s="1" t="s">
        <v>38</v>
      </c>
      <c r="D92" s="1" t="s">
        <v>19</v>
      </c>
    </row>
    <row r="93" spans="1:4">
      <c r="A93" s="12" t="s">
        <v>42</v>
      </c>
      <c r="B93" t="s">
        <v>132</v>
      </c>
      <c r="C93" s="61">
        <f>(((1+1/3)/12)/12)+((1/12)/12)</f>
        <v>1.6203703703703703E-2</v>
      </c>
      <c r="D93" s="7">
        <f>TRUNC(($D$88*C93),2)</f>
        <v>79.010000000000005</v>
      </c>
    </row>
    <row r="94" spans="1:4">
      <c r="A94" s="12" t="s">
        <v>45</v>
      </c>
      <c r="B94" t="s">
        <v>133</v>
      </c>
      <c r="C94" s="56">
        <f>((5/30)/12)</f>
        <v>1.3888888888888888E-2</v>
      </c>
      <c r="D94" s="58">
        <f>TRUNC(($D$88*C94),2)</f>
        <v>67.72</v>
      </c>
    </row>
    <row r="95" spans="1:4">
      <c r="A95" s="12" t="s">
        <v>48</v>
      </c>
      <c r="B95" t="s">
        <v>134</v>
      </c>
      <c r="C95" s="56">
        <f>((5/30)/12)*0.02</f>
        <v>2.7777777777777778E-4</v>
      </c>
      <c r="D95" s="58">
        <f>TRUNC(($D$88*C95),2)</f>
        <v>1.35</v>
      </c>
    </row>
    <row r="96" spans="1:4" ht="30">
      <c r="A96" s="12" t="s">
        <v>50</v>
      </c>
      <c r="B96" s="95" t="s">
        <v>135</v>
      </c>
      <c r="C96" s="63">
        <f>((15/30)/12)*0.08</f>
        <v>3.3333333333333331E-3</v>
      </c>
      <c r="D96" s="58">
        <f>TRUNC(($D$88*C96),2)</f>
        <v>16.25</v>
      </c>
    </row>
    <row r="97" spans="1:4">
      <c r="A97" s="12" t="s">
        <v>53</v>
      </c>
      <c r="B97" t="s">
        <v>136</v>
      </c>
      <c r="C97" s="56">
        <f>((1+1/3)/12)*0.00001*((4/12))</f>
        <v>3.7037037037037031E-7</v>
      </c>
      <c r="D97" s="58">
        <f>TRUNC(($D$88*C97),2)</f>
        <v>0</v>
      </c>
    </row>
    <row r="98" spans="1:4" ht="30">
      <c r="A98" s="12" t="s">
        <v>55</v>
      </c>
      <c r="B98" s="95" t="s">
        <v>231</v>
      </c>
      <c r="C98" s="96">
        <v>0</v>
      </c>
      <c r="D98" s="58">
        <f>TRUNC($D$88*C98)</f>
        <v>0</v>
      </c>
    </row>
    <row r="99" spans="1:4">
      <c r="A99" s="12" t="s">
        <v>58</v>
      </c>
      <c r="C99" s="61">
        <f>SUBTOTAL(109,Submódulo4.159_67[Percentual])</f>
        <v>3.3704074074074074E-2</v>
      </c>
      <c r="D99" s="7">
        <f>TRUNC((SUM(D93:D98)),2)</f>
        <v>164.33</v>
      </c>
    </row>
    <row r="100" spans="1:4">
      <c r="C100" s="1"/>
      <c r="D100" s="7"/>
    </row>
    <row r="101" spans="1:4">
      <c r="A101" s="193" t="s">
        <v>144</v>
      </c>
      <c r="B101" s="193"/>
      <c r="C101" s="193"/>
      <c r="D101" s="193"/>
    </row>
    <row r="102" spans="1:4">
      <c r="A102" s="12" t="s">
        <v>145</v>
      </c>
      <c r="B102" t="s">
        <v>146</v>
      </c>
      <c r="C102" s="1" t="s">
        <v>18</v>
      </c>
      <c r="D102" s="1" t="s">
        <v>19</v>
      </c>
    </row>
    <row r="103" spans="1:4" ht="90">
      <c r="A103" s="12" t="s">
        <v>42</v>
      </c>
      <c r="B103" s="70" t="s">
        <v>147</v>
      </c>
      <c r="C103" s="71" t="s">
        <v>232</v>
      </c>
      <c r="D103" s="72" t="s">
        <v>233</v>
      </c>
    </row>
    <row r="104" spans="1:4">
      <c r="A104" s="12" t="s">
        <v>58</v>
      </c>
      <c r="C104" s="1"/>
      <c r="D104" s="74" t="str">
        <f>D103</f>
        <v>*=TRUNCAR(($D$86/220)*(1*(365/12))/2)</v>
      </c>
    </row>
    <row r="106" spans="1:4">
      <c r="A106" s="193" t="s">
        <v>148</v>
      </c>
      <c r="B106" s="193"/>
      <c r="C106" s="193"/>
      <c r="D106" s="193"/>
    </row>
    <row r="107" spans="1:4">
      <c r="A107" s="12" t="s">
        <v>149</v>
      </c>
      <c r="B107" t="s">
        <v>150</v>
      </c>
      <c r="C107" s="1" t="s">
        <v>18</v>
      </c>
      <c r="D107" s="1" t="s">
        <v>19</v>
      </c>
    </row>
    <row r="108" spans="1:4">
      <c r="A108" s="12" t="s">
        <v>129</v>
      </c>
      <c r="B108" t="s">
        <v>130</v>
      </c>
      <c r="D108" s="49">
        <f>D99</f>
        <v>164.33</v>
      </c>
    </row>
    <row r="109" spans="1:4">
      <c r="A109" s="12" t="s">
        <v>145</v>
      </c>
      <c r="B109" t="s">
        <v>151</v>
      </c>
      <c r="D109" s="75" t="str">
        <f>Submódulo4.260_71[[#Totals],[Valor]]</f>
        <v>*=TRUNCAR(($D$86/220)*(1*(365/12))/2)</v>
      </c>
    </row>
    <row r="110" spans="1:4" ht="60">
      <c r="A110" s="12" t="s">
        <v>58</v>
      </c>
      <c r="B110" s="16"/>
      <c r="C110" s="71" t="s">
        <v>234</v>
      </c>
      <c r="D110" s="76">
        <f>TRUNC((SUM(D108:D109)),2)</f>
        <v>164.33</v>
      </c>
    </row>
    <row r="112" spans="1:4">
      <c r="A112" s="198" t="s">
        <v>152</v>
      </c>
      <c r="B112" s="198"/>
      <c r="C112" s="198"/>
      <c r="D112" s="198"/>
    </row>
    <row r="113" spans="1:11" ht="30">
      <c r="A113" s="12" t="s">
        <v>153</v>
      </c>
      <c r="B113" t="s">
        <v>154</v>
      </c>
      <c r="C113" s="1" t="s">
        <v>18</v>
      </c>
      <c r="D113" s="1" t="s">
        <v>19</v>
      </c>
      <c r="H113" s="77" t="s">
        <v>235</v>
      </c>
      <c r="I113" s="78" t="s">
        <v>236</v>
      </c>
      <c r="J113" s="78" t="s">
        <v>237</v>
      </c>
      <c r="K113" s="78" t="s">
        <v>238</v>
      </c>
    </row>
    <row r="114" spans="1:11">
      <c r="A114" s="12" t="s">
        <v>42</v>
      </c>
      <c r="B114" t="s">
        <v>239</v>
      </c>
      <c r="D114" s="79">
        <f>F114</f>
        <v>0</v>
      </c>
      <c r="F114">
        <f t="array" ref="F114:G114">'Uniformes e EPI'!G68:H68</f>
        <v>0</v>
      </c>
      <c r="G114">
        <v>0</v>
      </c>
      <c r="H114" s="80" t="s">
        <v>240</v>
      </c>
      <c r="I114" s="81">
        <v>0</v>
      </c>
      <c r="J114" s="82">
        <v>70</v>
      </c>
      <c r="K114" s="82">
        <f>TRUNC(J114*I114,2)</f>
        <v>0</v>
      </c>
    </row>
    <row r="115" spans="1:11">
      <c r="A115" s="12" t="s">
        <v>45</v>
      </c>
      <c r="B115" t="s">
        <v>241</v>
      </c>
      <c r="D115" s="79">
        <v>0</v>
      </c>
      <c r="H115" s="83" t="s">
        <v>242</v>
      </c>
      <c r="I115" s="84">
        <v>0</v>
      </c>
      <c r="J115" s="53">
        <v>35</v>
      </c>
      <c r="K115" s="82">
        <f>TRUNC(J115*I115,2)</f>
        <v>0</v>
      </c>
    </row>
    <row r="116" spans="1:11">
      <c r="A116" s="12" t="s">
        <v>48</v>
      </c>
      <c r="B116" t="s">
        <v>156</v>
      </c>
      <c r="D116" s="79">
        <v>0</v>
      </c>
      <c r="H116" s="208" t="s">
        <v>221</v>
      </c>
      <c r="I116" s="208"/>
      <c r="J116" s="210">
        <f>TRUNC(SUM(K114:K115),2)</f>
        <v>0</v>
      </c>
      <c r="K116" s="210"/>
    </row>
    <row r="117" spans="1:11">
      <c r="A117" s="12" t="s">
        <v>50</v>
      </c>
      <c r="B117" t="s">
        <v>157</v>
      </c>
      <c r="D117" s="79">
        <v>0</v>
      </c>
      <c r="H117" s="208" t="s">
        <v>243</v>
      </c>
      <c r="I117" s="208"/>
      <c r="J117" s="210">
        <f>TRUNC(J116/12,2)</f>
        <v>0</v>
      </c>
      <c r="K117" s="210"/>
    </row>
    <row r="118" spans="1:11" ht="15" customHeight="1">
      <c r="A118" s="12" t="s">
        <v>53</v>
      </c>
      <c r="B118" t="s">
        <v>244</v>
      </c>
      <c r="D118" s="79">
        <v>0</v>
      </c>
      <c r="H118" s="212" t="str">
        <f>Pedreiro!H118</f>
        <v>* Valores estabelecidos em conformidade com as disposição da CCT n.° PB 000113/2025</v>
      </c>
      <c r="I118" s="212"/>
      <c r="J118" s="212"/>
      <c r="K118" s="212"/>
    </row>
    <row r="119" spans="1:11">
      <c r="A119" s="12" t="s">
        <v>58</v>
      </c>
      <c r="D119" s="65">
        <f>TRUNC(SUM(D114:D118),2)</f>
        <v>0</v>
      </c>
      <c r="H119" s="212"/>
      <c r="I119" s="212"/>
      <c r="J119" s="212"/>
      <c r="K119" s="212"/>
    </row>
    <row r="121" spans="1:11">
      <c r="A121" s="206" t="s">
        <v>245</v>
      </c>
      <c r="B121" s="206"/>
      <c r="C121" s="52" t="s">
        <v>219</v>
      </c>
      <c r="D121" s="53">
        <f>D31</f>
        <v>2567.25</v>
      </c>
    </row>
    <row r="122" spans="1:11">
      <c r="A122" s="206"/>
      <c r="B122" s="206"/>
      <c r="C122" s="54" t="s">
        <v>229</v>
      </c>
      <c r="D122" s="53">
        <f>D73</f>
        <v>2156.6</v>
      </c>
    </row>
    <row r="123" spans="1:11">
      <c r="A123" s="206"/>
      <c r="B123" s="206"/>
      <c r="C123" s="52" t="s">
        <v>230</v>
      </c>
      <c r="D123" s="53">
        <f>D83</f>
        <v>152.19999999999999</v>
      </c>
    </row>
    <row r="124" spans="1:11">
      <c r="A124" s="206"/>
      <c r="B124" s="206"/>
      <c r="C124" s="54" t="s">
        <v>246</v>
      </c>
      <c r="D124" s="53">
        <f>D110</f>
        <v>164.33</v>
      </c>
    </row>
    <row r="125" spans="1:11">
      <c r="A125" s="206"/>
      <c r="B125" s="206"/>
      <c r="C125" s="52" t="s">
        <v>247</v>
      </c>
      <c r="D125" s="53">
        <f>D119</f>
        <v>0</v>
      </c>
    </row>
    <row r="126" spans="1:11">
      <c r="A126" s="206"/>
      <c r="B126" s="206"/>
      <c r="C126" s="54" t="s">
        <v>221</v>
      </c>
      <c r="D126" s="55">
        <f>TRUNC((SUM(D121:D125)),2)</f>
        <v>5040.38</v>
      </c>
    </row>
    <row r="128" spans="1:11">
      <c r="A128" s="198" t="s">
        <v>164</v>
      </c>
      <c r="B128" s="198"/>
      <c r="C128" s="198"/>
      <c r="D128" s="198"/>
    </row>
    <row r="129" spans="1:9">
      <c r="A129" s="12" t="s">
        <v>165</v>
      </c>
      <c r="B129" t="s">
        <v>166</v>
      </c>
      <c r="C129" s="1" t="s">
        <v>38</v>
      </c>
      <c r="D129" s="1" t="s">
        <v>19</v>
      </c>
      <c r="H129" s="209" t="s">
        <v>248</v>
      </c>
      <c r="I129" s="209"/>
    </row>
    <row r="130" spans="1:9">
      <c r="A130" s="12" t="s">
        <v>42</v>
      </c>
      <c r="B130" t="s">
        <v>167</v>
      </c>
      <c r="C130" s="56">
        <f>Módulo663_59105[[#This Row],[Percentual]]</f>
        <v>0</v>
      </c>
      <c r="D130" s="49">
        <f>TRUNC(($D$126*C130),2)</f>
        <v>0</v>
      </c>
      <c r="H130" s="80" t="s">
        <v>249</v>
      </c>
      <c r="I130" s="63">
        <f>C132</f>
        <v>0.14250000000000002</v>
      </c>
    </row>
    <row r="131" spans="1:9">
      <c r="A131" s="12" t="s">
        <v>45</v>
      </c>
      <c r="B131" t="s">
        <v>59</v>
      </c>
      <c r="C131" s="56">
        <f>Módulo663_59105[[#This Row],[Percentual]]</f>
        <v>0</v>
      </c>
      <c r="D131" s="49">
        <f>TRUNC((C131*(D126+D130)),2)</f>
        <v>0</v>
      </c>
      <c r="H131" s="86" t="s">
        <v>250</v>
      </c>
      <c r="I131" s="106">
        <f>TRUNC(SUM(D126,D130,D131),2)</f>
        <v>5040.38</v>
      </c>
    </row>
    <row r="132" spans="1:9">
      <c r="A132" s="12" t="s">
        <v>48</v>
      </c>
      <c r="B132" t="s">
        <v>168</v>
      </c>
      <c r="C132" s="56">
        <f>SUM(C133:C135)</f>
        <v>0.14250000000000002</v>
      </c>
      <c r="D132" s="49">
        <f>TRUNC((SUM(D133:D135)),2)</f>
        <v>786.26</v>
      </c>
      <c r="H132" s="80" t="s">
        <v>251</v>
      </c>
      <c r="I132" s="88">
        <f>(100-8.65)/100</f>
        <v>0.91349999999999998</v>
      </c>
    </row>
    <row r="133" spans="1:9">
      <c r="B133" t="s">
        <v>252</v>
      </c>
      <c r="C133" s="56">
        <f>Módulo663_59105[[#This Row],[Percentual]]</f>
        <v>1.6500000000000001E-2</v>
      </c>
      <c r="D133" s="49">
        <f>TRUNC(($I$133*C133),2)</f>
        <v>91.04</v>
      </c>
      <c r="H133" s="86" t="s">
        <v>248</v>
      </c>
      <c r="I133" s="106">
        <f>TRUNC((I131/I132),2)</f>
        <v>5517.65</v>
      </c>
    </row>
    <row r="134" spans="1:9">
      <c r="B134" t="s">
        <v>253</v>
      </c>
      <c r="C134" s="56">
        <f>Módulo663_59105[[#This Row],[Percentual]]</f>
        <v>7.5999999999999998E-2</v>
      </c>
      <c r="D134" s="49">
        <f>TRUNC(($I$133*C134),2)</f>
        <v>419.34</v>
      </c>
    </row>
    <row r="135" spans="1:9">
      <c r="B135" t="s">
        <v>254</v>
      </c>
      <c r="C135" s="56">
        <f>Módulo663_59105[[#This Row],[Percentual]]</f>
        <v>0.05</v>
      </c>
      <c r="D135" s="49">
        <f>TRUNC(($I$133*C135),2)</f>
        <v>275.88</v>
      </c>
    </row>
    <row r="136" spans="1:9">
      <c r="A136" s="12" t="s">
        <v>58</v>
      </c>
      <c r="C136" s="1"/>
      <c r="D136" s="7">
        <f>TRUNC(SUM(D130:D132),2)</f>
        <v>786.26</v>
      </c>
    </row>
    <row r="137" spans="1:9">
      <c r="C137" s="1"/>
      <c r="D137" s="7"/>
    </row>
    <row r="139" spans="1:9">
      <c r="A139" s="198" t="s">
        <v>172</v>
      </c>
      <c r="B139" s="198"/>
      <c r="C139" s="198"/>
      <c r="D139" s="198"/>
    </row>
    <row r="140" spans="1:9">
      <c r="A140" s="12" t="s">
        <v>16</v>
      </c>
      <c r="B140" s="1" t="s">
        <v>173</v>
      </c>
      <c r="C140" s="1" t="s">
        <v>102</v>
      </c>
      <c r="D140" s="1" t="s">
        <v>19</v>
      </c>
    </row>
    <row r="141" spans="1:9">
      <c r="A141" s="12" t="s">
        <v>42</v>
      </c>
      <c r="B141" t="s">
        <v>36</v>
      </c>
      <c r="D141" s="7">
        <f>D31</f>
        <v>2567.25</v>
      </c>
    </row>
    <row r="142" spans="1:9">
      <c r="A142" s="12" t="s">
        <v>45</v>
      </c>
      <c r="B142" t="s">
        <v>61</v>
      </c>
      <c r="D142" s="7">
        <f>D73</f>
        <v>2156.6</v>
      </c>
    </row>
    <row r="143" spans="1:9">
      <c r="A143" s="12" t="s">
        <v>48</v>
      </c>
      <c r="B143" t="s">
        <v>108</v>
      </c>
      <c r="D143" s="7">
        <f>D83</f>
        <v>152.19999999999999</v>
      </c>
    </row>
    <row r="144" spans="1:9">
      <c r="A144" s="12" t="s">
        <v>50</v>
      </c>
      <c r="B144" t="s">
        <v>174</v>
      </c>
      <c r="D144" s="7">
        <f>D110</f>
        <v>164.33</v>
      </c>
    </row>
    <row r="145" spans="1:4">
      <c r="A145" s="12" t="s">
        <v>53</v>
      </c>
      <c r="B145" t="s">
        <v>152</v>
      </c>
      <c r="D145" s="7">
        <f>D119</f>
        <v>0</v>
      </c>
    </row>
    <row r="146" spans="1:4">
      <c r="B146" s="89" t="s">
        <v>255</v>
      </c>
      <c r="D146" s="7">
        <f>TRUNC(SUM(D141:D145),2)</f>
        <v>5040.38</v>
      </c>
    </row>
    <row r="147" spans="1:4">
      <c r="A147" s="12" t="s">
        <v>55</v>
      </c>
      <c r="B147" t="s">
        <v>164</v>
      </c>
      <c r="D147" s="7">
        <f>D136</f>
        <v>786.26</v>
      </c>
    </row>
    <row r="148" spans="1:4">
      <c r="A148" s="101"/>
      <c r="B148" s="91" t="s">
        <v>256</v>
      </c>
      <c r="C148" s="20"/>
      <c r="D148" s="92">
        <f>TRUNC((SUM(D141:D145)+D147),2)</f>
        <v>5826.64</v>
      </c>
    </row>
  </sheetData>
  <mergeCells count="38">
    <mergeCell ref="A128:D128"/>
    <mergeCell ref="H129:I129"/>
    <mergeCell ref="A139:D139"/>
    <mergeCell ref="J116:K116"/>
    <mergeCell ref="H117:I117"/>
    <mergeCell ref="J117:K117"/>
    <mergeCell ref="H118:K119"/>
    <mergeCell ref="A121:B126"/>
    <mergeCell ref="A91:D91"/>
    <mergeCell ref="A101:D101"/>
    <mergeCell ref="A106:D106"/>
    <mergeCell ref="A112:D112"/>
    <mergeCell ref="H116:I116"/>
    <mergeCell ref="A57:D57"/>
    <mergeCell ref="A68:D68"/>
    <mergeCell ref="A75:D75"/>
    <mergeCell ref="A85:B88"/>
    <mergeCell ref="A90:D90"/>
    <mergeCell ref="H31:I31"/>
    <mergeCell ref="A33:D33"/>
    <mergeCell ref="A35:D35"/>
    <mergeCell ref="A41:B43"/>
    <mergeCell ref="A45:D45"/>
    <mergeCell ref="A14:B14"/>
    <mergeCell ref="A15:D15"/>
    <mergeCell ref="H15:I15"/>
    <mergeCell ref="H22:I22"/>
    <mergeCell ref="A23:D23"/>
    <mergeCell ref="C9:D9"/>
    <mergeCell ref="C10:D10"/>
    <mergeCell ref="A11:D11"/>
    <mergeCell ref="A12:B12"/>
    <mergeCell ref="A13:B13"/>
    <mergeCell ref="A2:D2"/>
    <mergeCell ref="A3:D3"/>
    <mergeCell ref="A6:D6"/>
    <mergeCell ref="C7:D7"/>
    <mergeCell ref="C8:D8"/>
  </mergeCells>
  <pageMargins left="0.25" right="0.25" top="0.75" bottom="0.75" header="0.511811023622047" footer="0.511811023622047"/>
  <pageSetup paperSize="9" scale="78" fitToHeight="0" orientation="portrait" horizontalDpi="300" verticalDpi="300"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K148"/>
  <sheetViews>
    <sheetView view="pageBreakPreview" topLeftCell="A124" zoomScaleNormal="90" workbookViewId="0">
      <selection activeCell="C29" sqref="C29"/>
    </sheetView>
  </sheetViews>
  <sheetFormatPr defaultColWidth="9.140625" defaultRowHeight="15"/>
  <cols>
    <col min="1" max="1" width="10.5703125" style="12" customWidth="1"/>
    <col min="2" max="2" width="51.28515625" customWidth="1"/>
    <col min="3" max="3" width="29.85546875" customWidth="1"/>
    <col min="4" max="4" width="41" customWidth="1"/>
    <col min="6" max="7" width="11.5703125" hidden="1" customWidth="1"/>
    <col min="8" max="8" width="22.85546875" customWidth="1"/>
    <col min="9" max="9" width="13.7109375" customWidth="1"/>
    <col min="10" max="10" width="11" customWidth="1"/>
    <col min="11" max="11" width="11.42578125" customWidth="1"/>
  </cols>
  <sheetData>
    <row r="2" spans="1:9" ht="18.75">
      <c r="A2" s="196" t="s">
        <v>194</v>
      </c>
      <c r="B2" s="196"/>
      <c r="C2" s="196"/>
      <c r="D2" s="196"/>
    </row>
    <row r="3" spans="1:9">
      <c r="A3" s="213" t="str">
        <f>Pedreiro!A3</f>
        <v>Processo Administrativo n.° 23324.000830.2025-46</v>
      </c>
      <c r="B3" s="213"/>
      <c r="C3" s="213"/>
      <c r="D3" s="213"/>
    </row>
    <row r="4" spans="1:9" ht="22.5" customHeight="1">
      <c r="A4" s="102" t="s">
        <v>195</v>
      </c>
      <c r="B4" s="103" t="s">
        <v>392</v>
      </c>
      <c r="C4" s="34"/>
      <c r="D4" s="34"/>
    </row>
    <row r="5" spans="1:9">
      <c r="A5" s="10"/>
      <c r="B5" s="36"/>
      <c r="C5" s="36"/>
      <c r="D5" s="36"/>
    </row>
    <row r="6" spans="1:9">
      <c r="A6" s="198" t="s">
        <v>196</v>
      </c>
      <c r="B6" s="198"/>
      <c r="C6" s="198"/>
      <c r="D6" s="198"/>
    </row>
    <row r="7" spans="1:9">
      <c r="A7" s="37" t="s">
        <v>42</v>
      </c>
      <c r="B7" s="38" t="s">
        <v>197</v>
      </c>
      <c r="C7" s="199" t="s">
        <v>198</v>
      </c>
      <c r="D7" s="199"/>
    </row>
    <row r="8" spans="1:9">
      <c r="A8" s="39" t="s">
        <v>45</v>
      </c>
      <c r="B8" s="40" t="s">
        <v>199</v>
      </c>
      <c r="C8" s="200" t="s">
        <v>200</v>
      </c>
      <c r="D8" s="200"/>
    </row>
    <row r="9" spans="1:9">
      <c r="A9" s="42" t="s">
        <v>48</v>
      </c>
      <c r="B9" s="43" t="s">
        <v>201</v>
      </c>
      <c r="C9" s="200" t="str">
        <f>Pedreiro!C9</f>
        <v>CCT PB000113/2025</v>
      </c>
      <c r="D9" s="200"/>
    </row>
    <row r="10" spans="1:9">
      <c r="A10" s="39" t="s">
        <v>53</v>
      </c>
      <c r="B10" s="40" t="s">
        <v>202</v>
      </c>
      <c r="C10" s="200" t="s">
        <v>203</v>
      </c>
      <c r="D10" s="200"/>
    </row>
    <row r="11" spans="1:9">
      <c r="A11" s="202" t="s">
        <v>204</v>
      </c>
      <c r="B11" s="202"/>
      <c r="C11" s="202"/>
      <c r="D11" s="202"/>
    </row>
    <row r="12" spans="1:9" ht="15" customHeight="1">
      <c r="A12" s="203" t="s">
        <v>205</v>
      </c>
      <c r="B12" s="203"/>
      <c r="C12" s="44" t="s">
        <v>206</v>
      </c>
      <c r="D12" s="45" t="s">
        <v>207</v>
      </c>
    </row>
    <row r="13" spans="1:9">
      <c r="A13" s="204" t="s">
        <v>263</v>
      </c>
      <c r="B13" s="204"/>
      <c r="C13" s="41" t="s">
        <v>209</v>
      </c>
      <c r="D13" s="46">
        <f>RESUMO!D7</f>
        <v>1</v>
      </c>
    </row>
    <row r="14" spans="1:9">
      <c r="A14" s="205"/>
      <c r="B14" s="205"/>
      <c r="C14" s="41"/>
      <c r="D14" s="47"/>
    </row>
    <row r="15" spans="1:9">
      <c r="A15" s="202" t="s">
        <v>14</v>
      </c>
      <c r="B15" s="202"/>
      <c r="C15" s="202"/>
      <c r="D15" s="202"/>
      <c r="H15" s="190"/>
      <c r="I15" s="190"/>
    </row>
    <row r="16" spans="1:9">
      <c r="A16" s="12" t="s">
        <v>16</v>
      </c>
      <c r="B16" t="s">
        <v>17</v>
      </c>
      <c r="C16" s="1" t="s">
        <v>18</v>
      </c>
      <c r="D16" s="1" t="s">
        <v>19</v>
      </c>
    </row>
    <row r="17" spans="1:9">
      <c r="A17" s="12">
        <v>1</v>
      </c>
      <c r="B17" t="s">
        <v>20</v>
      </c>
      <c r="C17" s="4" t="s">
        <v>102</v>
      </c>
      <c r="D17" s="4" t="str">
        <f>A13</f>
        <v>Piscineiro</v>
      </c>
    </row>
    <row r="18" spans="1:9">
      <c r="A18" s="12">
        <v>2</v>
      </c>
      <c r="B18" t="s">
        <v>23</v>
      </c>
      <c r="C18" s="4" t="s">
        <v>210</v>
      </c>
      <c r="D18" s="4" t="s">
        <v>264</v>
      </c>
    </row>
    <row r="19" spans="1:9">
      <c r="A19" s="12">
        <v>3</v>
      </c>
      <c r="B19" t="s">
        <v>26</v>
      </c>
      <c r="C19" s="4" t="str">
        <f>C9</f>
        <v>CCT PB000113/2025</v>
      </c>
      <c r="D19" s="49">
        <v>1536.73</v>
      </c>
    </row>
    <row r="20" spans="1:9">
      <c r="A20" s="12">
        <v>4</v>
      </c>
      <c r="B20" t="s">
        <v>29</v>
      </c>
      <c r="C20" s="4" t="str">
        <f>C9</f>
        <v>CCT PB000113/2025</v>
      </c>
      <c r="D20" s="4" t="s">
        <v>212</v>
      </c>
    </row>
    <row r="21" spans="1:9">
      <c r="A21" s="12">
        <v>5</v>
      </c>
      <c r="B21" t="s">
        <v>33</v>
      </c>
      <c r="C21" s="4" t="str">
        <f>C9</f>
        <v>CCT PB000113/2025</v>
      </c>
      <c r="D21" s="50" t="s">
        <v>213</v>
      </c>
    </row>
    <row r="22" spans="1:9">
      <c r="H22" s="190"/>
      <c r="I22" s="190"/>
    </row>
    <row r="23" spans="1:9">
      <c r="A23" s="198" t="s">
        <v>36</v>
      </c>
      <c r="B23" s="198"/>
      <c r="C23" s="198"/>
      <c r="D23" s="198"/>
    </row>
    <row r="24" spans="1:9">
      <c r="A24" s="12" t="s">
        <v>39</v>
      </c>
      <c r="B24" t="s">
        <v>40</v>
      </c>
      <c r="C24" s="1" t="s">
        <v>18</v>
      </c>
      <c r="D24" s="1" t="s">
        <v>19</v>
      </c>
      <c r="I24" s="6"/>
    </row>
    <row r="25" spans="1:9">
      <c r="A25" s="12" t="s">
        <v>42</v>
      </c>
      <c r="B25" t="s">
        <v>43</v>
      </c>
      <c r="C25" s="4" t="s">
        <v>214</v>
      </c>
      <c r="D25" s="49">
        <f>D19</f>
        <v>1536.73</v>
      </c>
      <c r="I25" s="6"/>
    </row>
    <row r="26" spans="1:9">
      <c r="A26" s="12" t="s">
        <v>45</v>
      </c>
      <c r="B26" t="s">
        <v>215</v>
      </c>
      <c r="C26" s="4"/>
      <c r="D26" s="49">
        <v>0</v>
      </c>
      <c r="I26" s="6"/>
    </row>
    <row r="27" spans="1:9">
      <c r="A27" s="12" t="s">
        <v>48</v>
      </c>
      <c r="B27" t="s">
        <v>216</v>
      </c>
      <c r="C27" s="4"/>
      <c r="D27" s="49">
        <v>0</v>
      </c>
    </row>
    <row r="28" spans="1:9">
      <c r="A28" s="12" t="s">
        <v>50</v>
      </c>
      <c r="B28" t="s">
        <v>51</v>
      </c>
      <c r="C28" s="4"/>
      <c r="D28" s="49">
        <v>0</v>
      </c>
    </row>
    <row r="29" spans="1:9">
      <c r="A29" s="12" t="s">
        <v>53</v>
      </c>
      <c r="B29" t="s">
        <v>54</v>
      </c>
      <c r="C29" s="4"/>
      <c r="D29" s="49">
        <v>0</v>
      </c>
    </row>
    <row r="30" spans="1:9">
      <c r="A30" s="12" t="s">
        <v>55</v>
      </c>
      <c r="B30" t="s">
        <v>56</v>
      </c>
      <c r="C30" s="4"/>
      <c r="D30" s="49">
        <v>0</v>
      </c>
    </row>
    <row r="31" spans="1:9">
      <c r="A31" s="12" t="s">
        <v>58</v>
      </c>
      <c r="C31" s="1"/>
      <c r="D31" s="7">
        <f>TRUNC(SUM(D25:D30),2)</f>
        <v>1536.73</v>
      </c>
      <c r="H31" s="190"/>
      <c r="I31" s="190"/>
    </row>
    <row r="32" spans="1:9">
      <c r="B32" s="51" t="s">
        <v>217</v>
      </c>
    </row>
    <row r="33" spans="1:9">
      <c r="A33" s="206" t="s">
        <v>61</v>
      </c>
      <c r="B33" s="206"/>
      <c r="C33" s="206"/>
      <c r="D33" s="206"/>
      <c r="I33" s="6"/>
    </row>
    <row r="35" spans="1:9">
      <c r="A35" s="193" t="s">
        <v>63</v>
      </c>
      <c r="B35" s="193"/>
      <c r="C35" s="193"/>
      <c r="D35" s="193"/>
    </row>
    <row r="36" spans="1:9">
      <c r="A36" s="12" t="s">
        <v>65</v>
      </c>
      <c r="B36" t="s">
        <v>66</v>
      </c>
      <c r="C36" s="1" t="s">
        <v>38</v>
      </c>
      <c r="D36" s="1" t="s">
        <v>19</v>
      </c>
    </row>
    <row r="37" spans="1:9">
      <c r="A37" s="12" t="s">
        <v>42</v>
      </c>
      <c r="B37" t="s">
        <v>67</v>
      </c>
      <c r="C37" s="17">
        <f>(1/12)</f>
        <v>8.3333333333333329E-2</v>
      </c>
      <c r="D37" s="7">
        <f>TRUNC($D$31*C37,2)</f>
        <v>128.06</v>
      </c>
    </row>
    <row r="38" spans="1:9">
      <c r="A38" s="12" t="s">
        <v>45</v>
      </c>
      <c r="B38" t="s">
        <v>68</v>
      </c>
      <c r="C38" s="17">
        <f>(((1+1/3)/12))</f>
        <v>0.1111111111111111</v>
      </c>
      <c r="D38" s="7">
        <f>TRUNC($D$31*C38,2)</f>
        <v>170.74</v>
      </c>
    </row>
    <row r="39" spans="1:9">
      <c r="A39" s="12" t="s">
        <v>58</v>
      </c>
      <c r="D39" s="7">
        <f>TRUNC((SUM(D37:D38)),2)</f>
        <v>298.8</v>
      </c>
    </row>
    <row r="40" spans="1:9">
      <c r="D40" s="7"/>
    </row>
    <row r="41" spans="1:9">
      <c r="A41" s="206" t="s">
        <v>218</v>
      </c>
      <c r="B41" s="206"/>
      <c r="C41" s="52" t="s">
        <v>219</v>
      </c>
      <c r="D41" s="53">
        <f>D31</f>
        <v>1536.73</v>
      </c>
    </row>
    <row r="42" spans="1:9">
      <c r="A42" s="206"/>
      <c r="B42" s="206"/>
      <c r="C42" s="54" t="s">
        <v>220</v>
      </c>
      <c r="D42" s="53">
        <f>D39</f>
        <v>298.8</v>
      </c>
    </row>
    <row r="43" spans="1:9">
      <c r="A43" s="206"/>
      <c r="B43" s="206"/>
      <c r="C43" s="52" t="s">
        <v>221</v>
      </c>
      <c r="D43" s="55">
        <f>TRUNC((SUM(D41:D42)),2)</f>
        <v>1835.53</v>
      </c>
    </row>
    <row r="44" spans="1:9">
      <c r="C44" s="18"/>
      <c r="D44" s="7"/>
    </row>
    <row r="45" spans="1:9">
      <c r="A45" s="193" t="s">
        <v>77</v>
      </c>
      <c r="B45" s="193"/>
      <c r="C45" s="193"/>
      <c r="D45" s="193"/>
    </row>
    <row r="46" spans="1:9">
      <c r="A46" s="12" t="s">
        <v>78</v>
      </c>
      <c r="B46" t="s">
        <v>79</v>
      </c>
      <c r="C46" s="1" t="s">
        <v>38</v>
      </c>
      <c r="D46" s="1" t="s">
        <v>80</v>
      </c>
    </row>
    <row r="47" spans="1:9">
      <c r="A47" s="12" t="s">
        <v>42</v>
      </c>
      <c r="B47" t="s">
        <v>81</v>
      </c>
      <c r="C47" s="17">
        <v>0.2</v>
      </c>
      <c r="D47" s="7">
        <f t="shared" ref="D47:D54" si="0">TRUNC(($D$43*C47),2)</f>
        <v>367.1</v>
      </c>
    </row>
    <row r="48" spans="1:9">
      <c r="A48" s="12" t="s">
        <v>45</v>
      </c>
      <c r="B48" t="s">
        <v>82</v>
      </c>
      <c r="C48" s="17">
        <v>2.5000000000000001E-2</v>
      </c>
      <c r="D48" s="7">
        <f t="shared" si="0"/>
        <v>45.88</v>
      </c>
    </row>
    <row r="49" spans="1:8">
      <c r="A49" s="12" t="s">
        <v>48</v>
      </c>
      <c r="B49" t="s">
        <v>222</v>
      </c>
      <c r="C49" s="56">
        <v>0</v>
      </c>
      <c r="D49" s="49">
        <f t="shared" si="0"/>
        <v>0</v>
      </c>
    </row>
    <row r="50" spans="1:8">
      <c r="A50" s="12" t="s">
        <v>50</v>
      </c>
      <c r="B50" t="s">
        <v>84</v>
      </c>
      <c r="C50" s="17">
        <v>1.4999999999999999E-2</v>
      </c>
      <c r="D50" s="7">
        <f t="shared" si="0"/>
        <v>27.53</v>
      </c>
    </row>
    <row r="51" spans="1:8">
      <c r="A51" s="12" t="s">
        <v>53</v>
      </c>
      <c r="B51" t="s">
        <v>85</v>
      </c>
      <c r="C51" s="17">
        <v>0.01</v>
      </c>
      <c r="D51" s="7">
        <f t="shared" si="0"/>
        <v>18.350000000000001</v>
      </c>
    </row>
    <row r="52" spans="1:8">
      <c r="A52" s="12" t="s">
        <v>55</v>
      </c>
      <c r="B52" t="s">
        <v>86</v>
      </c>
      <c r="C52" s="17">
        <v>6.0000000000000001E-3</v>
      </c>
      <c r="D52" s="7">
        <f t="shared" si="0"/>
        <v>11.01</v>
      </c>
    </row>
    <row r="53" spans="1:8">
      <c r="A53" s="12" t="s">
        <v>87</v>
      </c>
      <c r="B53" t="s">
        <v>88</v>
      </c>
      <c r="C53" s="17">
        <v>2E-3</v>
      </c>
      <c r="D53" s="7">
        <f t="shared" si="0"/>
        <v>3.67</v>
      </c>
    </row>
    <row r="54" spans="1:8">
      <c r="A54" s="12" t="s">
        <v>89</v>
      </c>
      <c r="B54" t="s">
        <v>90</v>
      </c>
      <c r="C54" s="17">
        <v>0.08</v>
      </c>
      <c r="D54" s="7">
        <f t="shared" si="0"/>
        <v>146.84</v>
      </c>
    </row>
    <row r="55" spans="1:8">
      <c r="A55" s="12" t="s">
        <v>58</v>
      </c>
      <c r="C55" s="18">
        <f>SUM(C47:C54)</f>
        <v>0.33800000000000002</v>
      </c>
      <c r="D55" s="7">
        <f>TRUNC((SUM(D47:D54)),2)</f>
        <v>620.38</v>
      </c>
    </row>
    <row r="56" spans="1:8">
      <c r="C56" s="18"/>
      <c r="D56" s="7"/>
    </row>
    <row r="57" spans="1:8">
      <c r="A57" s="193" t="s">
        <v>95</v>
      </c>
      <c r="B57" s="193"/>
      <c r="C57" s="193"/>
      <c r="D57" s="193"/>
    </row>
    <row r="58" spans="1:8">
      <c r="A58" s="12" t="s">
        <v>96</v>
      </c>
      <c r="B58" t="s">
        <v>97</v>
      </c>
      <c r="C58" s="1" t="s">
        <v>18</v>
      </c>
      <c r="D58" s="1" t="s">
        <v>19</v>
      </c>
    </row>
    <row r="59" spans="1:8">
      <c r="A59" s="12" t="s">
        <v>42</v>
      </c>
      <c r="B59" t="s">
        <v>98</v>
      </c>
      <c r="C59" s="4"/>
      <c r="D59" s="49">
        <v>0</v>
      </c>
    </row>
    <row r="60" spans="1:8">
      <c r="A60" s="12" t="s">
        <v>45</v>
      </c>
      <c r="B60" t="s">
        <v>99</v>
      </c>
      <c r="C60" s="4" t="str">
        <f>C9</f>
        <v>CCT PB000113/2025</v>
      </c>
      <c r="D60" s="49">
        <f>Submódulo2.356_53112[[#This Row],[Valor]]</f>
        <v>540</v>
      </c>
    </row>
    <row r="61" spans="1:8">
      <c r="A61" s="12" t="s">
        <v>48</v>
      </c>
      <c r="B61" t="s">
        <v>100</v>
      </c>
      <c r="C61" s="4"/>
      <c r="D61" s="49">
        <v>0</v>
      </c>
    </row>
    <row r="62" spans="1:8">
      <c r="A62" s="12" t="s">
        <v>50</v>
      </c>
      <c r="B62" s="57" t="s">
        <v>223</v>
      </c>
      <c r="C62" s="58"/>
      <c r="D62" s="58">
        <v>0</v>
      </c>
      <c r="H62" s="16"/>
    </row>
    <row r="63" spans="1:8">
      <c r="A63" s="12" t="s">
        <v>53</v>
      </c>
      <c r="B63" t="s">
        <v>224</v>
      </c>
      <c r="C63" s="4" t="str">
        <f>C60</f>
        <v>CCT PB000113/2025</v>
      </c>
      <c r="D63" s="49">
        <v>25</v>
      </c>
    </row>
    <row r="64" spans="1:8">
      <c r="A64" s="12" t="s">
        <v>55</v>
      </c>
      <c r="B64" s="59" t="s">
        <v>225</v>
      </c>
      <c r="C64" s="4" t="str">
        <f>C9</f>
        <v>CCT PB000113/2025</v>
      </c>
      <c r="D64" s="49">
        <v>6</v>
      </c>
    </row>
    <row r="65" spans="1:4">
      <c r="A65" s="12" t="s">
        <v>87</v>
      </c>
      <c r="B65" s="59" t="s">
        <v>226</v>
      </c>
      <c r="C65" s="58" t="str">
        <f>C60</f>
        <v>CCT PB000113/2025</v>
      </c>
      <c r="D65" s="49">
        <v>50</v>
      </c>
    </row>
    <row r="66" spans="1:4">
      <c r="A66" s="12" t="s">
        <v>58</v>
      </c>
      <c r="D66" s="7">
        <f>TRUNC((SUM(D59:D65)),2)</f>
        <v>621</v>
      </c>
    </row>
    <row r="67" spans="1:4">
      <c r="D67" s="7"/>
    </row>
    <row r="68" spans="1:4">
      <c r="A68" s="193" t="s">
        <v>105</v>
      </c>
      <c r="B68" s="193"/>
      <c r="C68" s="193"/>
      <c r="D68" s="193"/>
    </row>
    <row r="69" spans="1:4">
      <c r="A69" s="12" t="s">
        <v>106</v>
      </c>
      <c r="B69" t="s">
        <v>107</v>
      </c>
      <c r="C69" s="1" t="s">
        <v>18</v>
      </c>
      <c r="D69" s="1" t="s">
        <v>19</v>
      </c>
    </row>
    <row r="70" spans="1:4">
      <c r="A70" s="12" t="s">
        <v>65</v>
      </c>
      <c r="B70" t="s">
        <v>66</v>
      </c>
      <c r="C70" s="1"/>
      <c r="D70" s="7">
        <f>D39</f>
        <v>298.8</v>
      </c>
    </row>
    <row r="71" spans="1:4">
      <c r="A71" s="12" t="s">
        <v>78</v>
      </c>
      <c r="B71" t="s">
        <v>79</v>
      </c>
      <c r="C71" s="1"/>
      <c r="D71" s="7">
        <f>D55</f>
        <v>620.38</v>
      </c>
    </row>
    <row r="72" spans="1:4">
      <c r="A72" s="12" t="s">
        <v>96</v>
      </c>
      <c r="B72" t="s">
        <v>97</v>
      </c>
      <c r="C72" s="1"/>
      <c r="D72" s="7">
        <f>D66</f>
        <v>621</v>
      </c>
    </row>
    <row r="73" spans="1:4">
      <c r="A73" s="12" t="s">
        <v>58</v>
      </c>
      <c r="C73" s="1"/>
      <c r="D73" s="7">
        <f>TRUNC(SUM(D70:D72),2)</f>
        <v>1540.18</v>
      </c>
    </row>
    <row r="75" spans="1:4">
      <c r="A75" s="198" t="s">
        <v>108</v>
      </c>
      <c r="B75" s="198"/>
      <c r="C75" s="198"/>
      <c r="D75" s="198"/>
    </row>
    <row r="76" spans="1:4">
      <c r="A76" s="12" t="s">
        <v>109</v>
      </c>
      <c r="B76" t="s">
        <v>110</v>
      </c>
      <c r="C76" s="1" t="s">
        <v>38</v>
      </c>
      <c r="D76" s="1" t="s">
        <v>19</v>
      </c>
    </row>
    <row r="77" spans="1:4">
      <c r="A77" s="12" t="s">
        <v>42</v>
      </c>
      <c r="B77" t="s">
        <v>111</v>
      </c>
      <c r="C77" s="56">
        <f>((1/12)*2%)</f>
        <v>1.6666666666666666E-3</v>
      </c>
      <c r="D77" s="49">
        <f>TRUNC(($D$31*C77),2)</f>
        <v>2.56</v>
      </c>
    </row>
    <row r="78" spans="1:4">
      <c r="A78" s="12" t="s">
        <v>45</v>
      </c>
      <c r="B78" t="s">
        <v>112</v>
      </c>
      <c r="C78" s="61">
        <v>0.08</v>
      </c>
      <c r="D78" s="7">
        <f>TRUNC(($D$77*C78),2)</f>
        <v>0.2</v>
      </c>
    </row>
    <row r="79" spans="1:4" ht="30">
      <c r="A79" s="12" t="s">
        <v>48</v>
      </c>
      <c r="B79" s="95" t="s">
        <v>113</v>
      </c>
      <c r="C79" s="63">
        <f>(0.08*0.4*0.02)</f>
        <v>6.4000000000000005E-4</v>
      </c>
      <c r="D79" s="58">
        <f>TRUNC(($D$31*C79),2)</f>
        <v>0.98</v>
      </c>
    </row>
    <row r="80" spans="1:4">
      <c r="A80" s="12" t="s">
        <v>50</v>
      </c>
      <c r="B80" t="s">
        <v>114</v>
      </c>
      <c r="C80" s="61">
        <f>(((7/30)/12)*0.98)</f>
        <v>1.9055555555555555E-2</v>
      </c>
      <c r="D80" s="7">
        <f>TRUNC(($D$31*C80),2)</f>
        <v>29.28</v>
      </c>
    </row>
    <row r="81" spans="1:4" ht="30">
      <c r="A81" s="12" t="s">
        <v>53</v>
      </c>
      <c r="B81" s="95" t="s">
        <v>227</v>
      </c>
      <c r="C81" s="63">
        <f>C55</f>
        <v>0.33800000000000002</v>
      </c>
      <c r="D81" s="58">
        <f>TRUNC(($D$80*C81),2)</f>
        <v>9.89</v>
      </c>
    </row>
    <row r="82" spans="1:4" ht="30">
      <c r="A82" s="12" t="s">
        <v>55</v>
      </c>
      <c r="B82" s="95" t="s">
        <v>115</v>
      </c>
      <c r="C82" s="63">
        <f>(0.08*0.4*0.98)</f>
        <v>3.1359999999999999E-2</v>
      </c>
      <c r="D82" s="58">
        <f>TRUNC(($D$31*C82),2)</f>
        <v>48.19</v>
      </c>
    </row>
    <row r="83" spans="1:4">
      <c r="A83" s="12" t="s">
        <v>58</v>
      </c>
      <c r="C83" s="61">
        <f>SUM(C77:C82)</f>
        <v>0.47072222222222221</v>
      </c>
      <c r="D83" s="7">
        <f>TRUNC((SUM(D77:D82)),2)</f>
        <v>91.1</v>
      </c>
    </row>
    <row r="84" spans="1:4">
      <c r="D84" s="7"/>
    </row>
    <row r="85" spans="1:4">
      <c r="A85" s="206" t="s">
        <v>228</v>
      </c>
      <c r="B85" s="206"/>
      <c r="C85" s="52" t="s">
        <v>219</v>
      </c>
      <c r="D85" s="53">
        <f>D31</f>
        <v>1536.73</v>
      </c>
    </row>
    <row r="86" spans="1:4">
      <c r="A86" s="206"/>
      <c r="B86" s="206"/>
      <c r="C86" s="54" t="s">
        <v>229</v>
      </c>
      <c r="D86" s="53">
        <f>D73</f>
        <v>1540.18</v>
      </c>
    </row>
    <row r="87" spans="1:4">
      <c r="A87" s="206"/>
      <c r="B87" s="206"/>
      <c r="C87" s="52" t="s">
        <v>230</v>
      </c>
      <c r="D87" s="53">
        <f>D83</f>
        <v>91.1</v>
      </c>
    </row>
    <row r="88" spans="1:4">
      <c r="A88" s="206"/>
      <c r="B88" s="206"/>
      <c r="C88" s="54" t="s">
        <v>221</v>
      </c>
      <c r="D88" s="55">
        <f>TRUNC((SUM(D85:D87)),2)</f>
        <v>3168.01</v>
      </c>
    </row>
    <row r="89" spans="1:4">
      <c r="D89" s="7"/>
    </row>
    <row r="90" spans="1:4" ht="35.1" customHeight="1">
      <c r="A90" s="207" t="s">
        <v>127</v>
      </c>
      <c r="B90" s="207"/>
      <c r="C90" s="207"/>
      <c r="D90" s="207"/>
    </row>
    <row r="91" spans="1:4">
      <c r="A91" s="193" t="s">
        <v>128</v>
      </c>
      <c r="B91" s="193"/>
      <c r="C91" s="193"/>
      <c r="D91" s="193"/>
    </row>
    <row r="92" spans="1:4">
      <c r="A92" s="12" t="s">
        <v>129</v>
      </c>
      <c r="B92" t="s">
        <v>130</v>
      </c>
      <c r="C92" s="1" t="s">
        <v>38</v>
      </c>
      <c r="D92" s="1" t="s">
        <v>19</v>
      </c>
    </row>
    <row r="93" spans="1:4">
      <c r="A93" s="12" t="s">
        <v>42</v>
      </c>
      <c r="B93" t="s">
        <v>132</v>
      </c>
      <c r="C93" s="61">
        <f>(((1+1/3)/12)/12)+((1/12)/12)</f>
        <v>1.6203703703703703E-2</v>
      </c>
      <c r="D93" s="7">
        <f>TRUNC(($D$88*C93),2)</f>
        <v>51.33</v>
      </c>
    </row>
    <row r="94" spans="1:4">
      <c r="A94" s="12" t="s">
        <v>45</v>
      </c>
      <c r="B94" t="s">
        <v>133</v>
      </c>
      <c r="C94" s="56">
        <f>((5/30)/12)</f>
        <v>1.3888888888888888E-2</v>
      </c>
      <c r="D94" s="58">
        <f>TRUNC(($D$88*C94),2)</f>
        <v>44</v>
      </c>
    </row>
    <row r="95" spans="1:4">
      <c r="A95" s="12" t="s">
        <v>48</v>
      </c>
      <c r="B95" t="s">
        <v>134</v>
      </c>
      <c r="C95" s="56">
        <f>((5/30)/12)*0.02</f>
        <v>2.7777777777777778E-4</v>
      </c>
      <c r="D95" s="58">
        <f>TRUNC(($D$88*C95),2)</f>
        <v>0.88</v>
      </c>
    </row>
    <row r="96" spans="1:4" ht="30">
      <c r="A96" s="12" t="s">
        <v>50</v>
      </c>
      <c r="B96" s="95" t="s">
        <v>135</v>
      </c>
      <c r="C96" s="63">
        <f>((15/30)/12)*0.08</f>
        <v>3.3333333333333331E-3</v>
      </c>
      <c r="D96" s="58">
        <f>TRUNC(($D$88*C96),2)</f>
        <v>10.56</v>
      </c>
    </row>
    <row r="97" spans="1:4">
      <c r="A97" s="12" t="s">
        <v>53</v>
      </c>
      <c r="B97" t="s">
        <v>136</v>
      </c>
      <c r="C97" s="56">
        <f>((1+1/3)/12)*0.00001*((4/12))</f>
        <v>3.7037037037037031E-7</v>
      </c>
      <c r="D97" s="58">
        <f>TRUNC(($D$88*C97),2)</f>
        <v>0</v>
      </c>
    </row>
    <row r="98" spans="1:4" ht="30">
      <c r="A98" s="12" t="s">
        <v>55</v>
      </c>
      <c r="B98" s="95" t="s">
        <v>231</v>
      </c>
      <c r="C98" s="96">
        <v>0</v>
      </c>
      <c r="D98" s="58">
        <f>TRUNC($D$88*C98)</f>
        <v>0</v>
      </c>
    </row>
    <row r="99" spans="1:4">
      <c r="A99" s="12" t="s">
        <v>58</v>
      </c>
      <c r="C99" s="61">
        <f>SUBTOTAL(109,Submódulo4.159_80[Percentual])</f>
        <v>3.3704074074074074E-2</v>
      </c>
      <c r="D99" s="7">
        <f>TRUNC((SUM(D93:D98)),2)</f>
        <v>106.77</v>
      </c>
    </row>
    <row r="100" spans="1:4">
      <c r="C100" s="1"/>
      <c r="D100" s="7"/>
    </row>
    <row r="101" spans="1:4">
      <c r="A101" s="193" t="s">
        <v>144</v>
      </c>
      <c r="B101" s="193"/>
      <c r="C101" s="193"/>
      <c r="D101" s="193"/>
    </row>
    <row r="102" spans="1:4">
      <c r="A102" s="12" t="s">
        <v>145</v>
      </c>
      <c r="B102" t="s">
        <v>146</v>
      </c>
      <c r="C102" s="1" t="s">
        <v>18</v>
      </c>
      <c r="D102" s="1" t="s">
        <v>19</v>
      </c>
    </row>
    <row r="103" spans="1:4" ht="90">
      <c r="A103" s="12" t="s">
        <v>42</v>
      </c>
      <c r="B103" s="70" t="s">
        <v>147</v>
      </c>
      <c r="C103" s="71" t="s">
        <v>232</v>
      </c>
      <c r="D103" s="72" t="s">
        <v>233</v>
      </c>
    </row>
    <row r="104" spans="1:4">
      <c r="A104" s="12" t="s">
        <v>58</v>
      </c>
      <c r="C104" s="73"/>
      <c r="D104" s="74" t="str">
        <f>D103</f>
        <v>*=TRUNCAR(($D$86/220)*(1*(365/12))/2)</v>
      </c>
    </row>
    <row r="106" spans="1:4">
      <c r="A106" s="193" t="s">
        <v>148</v>
      </c>
      <c r="B106" s="193"/>
      <c r="C106" s="193"/>
      <c r="D106" s="193"/>
    </row>
    <row r="107" spans="1:4">
      <c r="A107" s="12" t="s">
        <v>149</v>
      </c>
      <c r="B107" t="s">
        <v>150</v>
      </c>
      <c r="C107" s="1" t="s">
        <v>18</v>
      </c>
      <c r="D107" s="1" t="s">
        <v>19</v>
      </c>
    </row>
    <row r="108" spans="1:4">
      <c r="A108" s="12" t="s">
        <v>129</v>
      </c>
      <c r="B108" t="s">
        <v>130</v>
      </c>
      <c r="D108" s="49">
        <f>D99</f>
        <v>106.77</v>
      </c>
    </row>
    <row r="109" spans="1:4">
      <c r="A109" s="12" t="s">
        <v>145</v>
      </c>
      <c r="B109" t="s">
        <v>151</v>
      </c>
      <c r="D109" s="75" t="str">
        <f>Submódulo4.260_81[[#Totals],[Valor]]</f>
        <v>*=TRUNCAR(($D$86/220)*(1*(365/12))/2)</v>
      </c>
    </row>
    <row r="110" spans="1:4" ht="60">
      <c r="A110" s="12" t="s">
        <v>58</v>
      </c>
      <c r="B110" s="16"/>
      <c r="C110" s="71" t="s">
        <v>234</v>
      </c>
      <c r="D110" s="76">
        <f>TRUNC((SUM(D108:D109)),2)</f>
        <v>106.77</v>
      </c>
    </row>
    <row r="112" spans="1:4">
      <c r="A112" s="198" t="s">
        <v>152</v>
      </c>
      <c r="B112" s="198"/>
      <c r="C112" s="198"/>
      <c r="D112" s="198"/>
    </row>
    <row r="113" spans="1:11" ht="30">
      <c r="A113" s="12" t="s">
        <v>153</v>
      </c>
      <c r="B113" t="s">
        <v>154</v>
      </c>
      <c r="C113" s="1" t="s">
        <v>18</v>
      </c>
      <c r="D113" s="1" t="s">
        <v>19</v>
      </c>
      <c r="H113" s="77" t="s">
        <v>235</v>
      </c>
      <c r="I113" s="78" t="s">
        <v>236</v>
      </c>
      <c r="J113" s="78" t="s">
        <v>237</v>
      </c>
      <c r="K113" s="78" t="s">
        <v>238</v>
      </c>
    </row>
    <row r="114" spans="1:11">
      <c r="A114" s="12" t="s">
        <v>42</v>
      </c>
      <c r="B114" t="s">
        <v>239</v>
      </c>
      <c r="D114" s="79">
        <f>F114</f>
        <v>0</v>
      </c>
      <c r="F114">
        <f t="array" ref="F114:G114">'Uniformes e EPI'!G86:H86</f>
        <v>0</v>
      </c>
      <c r="G114">
        <v>0</v>
      </c>
      <c r="H114" s="80" t="s">
        <v>240</v>
      </c>
      <c r="I114" s="81">
        <v>0</v>
      </c>
      <c r="J114" s="82">
        <v>70</v>
      </c>
      <c r="K114" s="82">
        <f>TRUNC(J114*I114,2)</f>
        <v>0</v>
      </c>
    </row>
    <row r="115" spans="1:11">
      <c r="A115" s="12" t="s">
        <v>45</v>
      </c>
      <c r="B115" t="s">
        <v>241</v>
      </c>
      <c r="D115" s="79">
        <v>0</v>
      </c>
      <c r="H115" s="83" t="s">
        <v>242</v>
      </c>
      <c r="I115" s="84">
        <v>0</v>
      </c>
      <c r="J115" s="53">
        <v>35</v>
      </c>
      <c r="K115" s="82">
        <f>TRUNC(J115*I115,2)</f>
        <v>0</v>
      </c>
    </row>
    <row r="116" spans="1:11">
      <c r="A116" s="12" t="s">
        <v>48</v>
      </c>
      <c r="B116" t="s">
        <v>156</v>
      </c>
      <c r="D116" s="79">
        <f>'Mat. Piscineiro'!F14+'Mat. Piscineiro'!F24+'Mat. Piscineiro'!F33</f>
        <v>0</v>
      </c>
      <c r="H116" s="208" t="s">
        <v>221</v>
      </c>
      <c r="I116" s="208"/>
      <c r="J116" s="210">
        <f>TRUNC(SUM(K114:K115),2)</f>
        <v>0</v>
      </c>
      <c r="K116" s="210"/>
    </row>
    <row r="117" spans="1:11">
      <c r="A117" s="12" t="s">
        <v>50</v>
      </c>
      <c r="B117" t="s">
        <v>157</v>
      </c>
      <c r="D117" s="79">
        <v>0</v>
      </c>
      <c r="H117" s="208" t="s">
        <v>243</v>
      </c>
      <c r="I117" s="208"/>
      <c r="J117" s="210">
        <f>TRUNC(J116/12,2)</f>
        <v>0</v>
      </c>
      <c r="K117" s="210"/>
    </row>
    <row r="118" spans="1:11" ht="15" customHeight="1">
      <c r="A118" s="12" t="s">
        <v>53</v>
      </c>
      <c r="B118" t="s">
        <v>244</v>
      </c>
      <c r="D118" s="79">
        <v>0</v>
      </c>
      <c r="H118" s="211" t="str">
        <f>Pedreiro!H118</f>
        <v>* Valores estabelecidos em conformidade com as disposição da CCT n.° PB 000113/2025</v>
      </c>
      <c r="I118" s="212"/>
      <c r="J118" s="212"/>
      <c r="K118" s="212"/>
    </row>
    <row r="119" spans="1:11">
      <c r="A119" s="12" t="s">
        <v>58</v>
      </c>
      <c r="D119" s="7">
        <f>TRUNC(SUM(D114:D118),2)</f>
        <v>0</v>
      </c>
      <c r="H119" s="212"/>
      <c r="I119" s="212"/>
      <c r="J119" s="212"/>
      <c r="K119" s="212"/>
    </row>
    <row r="121" spans="1:11">
      <c r="A121" s="206" t="s">
        <v>245</v>
      </c>
      <c r="B121" s="206"/>
      <c r="C121" s="52" t="s">
        <v>219</v>
      </c>
      <c r="D121" s="53">
        <f>D31</f>
        <v>1536.73</v>
      </c>
    </row>
    <row r="122" spans="1:11">
      <c r="A122" s="206"/>
      <c r="B122" s="206"/>
      <c r="C122" s="54" t="s">
        <v>229</v>
      </c>
      <c r="D122" s="53">
        <f>D73</f>
        <v>1540.18</v>
      </c>
    </row>
    <row r="123" spans="1:11">
      <c r="A123" s="206"/>
      <c r="B123" s="206"/>
      <c r="C123" s="52" t="s">
        <v>230</v>
      </c>
      <c r="D123" s="53">
        <f>D83</f>
        <v>91.1</v>
      </c>
    </row>
    <row r="124" spans="1:11">
      <c r="A124" s="206"/>
      <c r="B124" s="206"/>
      <c r="C124" s="54" t="s">
        <v>246</v>
      </c>
      <c r="D124" s="53">
        <f>D110</f>
        <v>106.77</v>
      </c>
    </row>
    <row r="125" spans="1:11">
      <c r="A125" s="206"/>
      <c r="B125" s="206"/>
      <c r="C125" s="52" t="s">
        <v>247</v>
      </c>
      <c r="D125" s="53">
        <f>D119</f>
        <v>0</v>
      </c>
    </row>
    <row r="126" spans="1:11">
      <c r="A126" s="206"/>
      <c r="B126" s="206"/>
      <c r="C126" s="54" t="s">
        <v>221</v>
      </c>
      <c r="D126" s="55">
        <f>TRUNC((SUM(D121:D125)),2)</f>
        <v>3274.78</v>
      </c>
    </row>
    <row r="128" spans="1:11">
      <c r="A128" s="198" t="s">
        <v>164</v>
      </c>
      <c r="B128" s="198"/>
      <c r="C128" s="198"/>
      <c r="D128" s="198"/>
    </row>
    <row r="129" spans="1:9">
      <c r="A129" s="12" t="s">
        <v>165</v>
      </c>
      <c r="B129" t="s">
        <v>166</v>
      </c>
      <c r="C129" s="1" t="s">
        <v>38</v>
      </c>
      <c r="D129" s="1" t="s">
        <v>19</v>
      </c>
      <c r="H129" s="209" t="s">
        <v>248</v>
      </c>
      <c r="I129" s="209"/>
    </row>
    <row r="130" spans="1:9">
      <c r="A130" s="12" t="s">
        <v>42</v>
      </c>
      <c r="B130" t="s">
        <v>167</v>
      </c>
      <c r="C130" s="56">
        <f>Módulo663_59105[[#This Row],[Percentual]]</f>
        <v>0</v>
      </c>
      <c r="D130" s="49">
        <f>TRUNC(($D$126*C130),2)</f>
        <v>0</v>
      </c>
      <c r="H130" s="80" t="s">
        <v>249</v>
      </c>
      <c r="I130" s="63">
        <f>C132</f>
        <v>0.14250000000000002</v>
      </c>
    </row>
    <row r="131" spans="1:9">
      <c r="A131" s="12" t="s">
        <v>45</v>
      </c>
      <c r="B131" t="s">
        <v>59</v>
      </c>
      <c r="C131" s="56">
        <f>Módulo663_59105[[#This Row],[Percentual]]</f>
        <v>0</v>
      </c>
      <c r="D131" s="49">
        <f>TRUNC((C131*(D126+D130)),2)</f>
        <v>0</v>
      </c>
      <c r="H131" s="86" t="s">
        <v>250</v>
      </c>
      <c r="I131" s="106">
        <f>TRUNC(SUM(D126,D130,D131),2)</f>
        <v>3274.78</v>
      </c>
    </row>
    <row r="132" spans="1:9">
      <c r="A132" s="12" t="s">
        <v>48</v>
      </c>
      <c r="B132" t="s">
        <v>168</v>
      </c>
      <c r="C132" s="56">
        <f>SUM(C133:C135)</f>
        <v>0.14250000000000002</v>
      </c>
      <c r="D132" s="49">
        <f>TRUNC((SUM(D133:D135)),2)</f>
        <v>510.84</v>
      </c>
      <c r="H132" s="80" t="s">
        <v>251</v>
      </c>
      <c r="I132" s="88">
        <f>(100-8.65)/100</f>
        <v>0.91349999999999998</v>
      </c>
    </row>
    <row r="133" spans="1:9">
      <c r="B133" t="s">
        <v>252</v>
      </c>
      <c r="C133" s="56">
        <f>Módulo663_59105[[#This Row],[Percentual]]</f>
        <v>1.6500000000000001E-2</v>
      </c>
      <c r="D133" s="49">
        <f>TRUNC(($I$133*C133),2)</f>
        <v>59.15</v>
      </c>
      <c r="H133" s="86" t="s">
        <v>248</v>
      </c>
      <c r="I133" s="106">
        <f>TRUNC((I131/I132),2)</f>
        <v>3584.87</v>
      </c>
    </row>
    <row r="134" spans="1:9">
      <c r="B134" t="s">
        <v>253</v>
      </c>
      <c r="C134" s="56">
        <f>Módulo663_59105[[#This Row],[Percentual]]</f>
        <v>7.5999999999999998E-2</v>
      </c>
      <c r="D134" s="49">
        <f>TRUNC(($I$133*C134),2)</f>
        <v>272.45</v>
      </c>
    </row>
    <row r="135" spans="1:9">
      <c r="B135" t="s">
        <v>254</v>
      </c>
      <c r="C135" s="56">
        <f>Módulo663_59105[[#This Row],[Percentual]]</f>
        <v>0.05</v>
      </c>
      <c r="D135" s="49">
        <f>TRUNC(($I$133*C135),2)</f>
        <v>179.24</v>
      </c>
    </row>
    <row r="136" spans="1:9">
      <c r="A136" s="12" t="s">
        <v>58</v>
      </c>
      <c r="C136" s="1"/>
      <c r="D136" s="7">
        <f>TRUNC(SUM(D130:D132),2)</f>
        <v>510.84</v>
      </c>
    </row>
    <row r="137" spans="1:9">
      <c r="C137" s="1"/>
      <c r="D137" s="7"/>
    </row>
    <row r="139" spans="1:9">
      <c r="A139" s="198" t="s">
        <v>172</v>
      </c>
      <c r="B139" s="198"/>
      <c r="C139" s="198"/>
      <c r="D139" s="198"/>
    </row>
    <row r="140" spans="1:9">
      <c r="A140" s="12" t="s">
        <v>16</v>
      </c>
      <c r="B140" s="1" t="s">
        <v>173</v>
      </c>
      <c r="C140" s="1" t="s">
        <v>102</v>
      </c>
      <c r="D140" s="1" t="s">
        <v>19</v>
      </c>
    </row>
    <row r="141" spans="1:9">
      <c r="A141" s="12" t="s">
        <v>42</v>
      </c>
      <c r="B141" t="s">
        <v>36</v>
      </c>
      <c r="D141" s="7">
        <f>D31</f>
        <v>1536.73</v>
      </c>
    </row>
    <row r="142" spans="1:9">
      <c r="A142" s="12" t="s">
        <v>45</v>
      </c>
      <c r="B142" t="s">
        <v>61</v>
      </c>
      <c r="D142" s="7">
        <f>D73</f>
        <v>1540.18</v>
      </c>
    </row>
    <row r="143" spans="1:9">
      <c r="A143" s="12" t="s">
        <v>48</v>
      </c>
      <c r="B143" t="s">
        <v>108</v>
      </c>
      <c r="D143" s="7">
        <f>D83</f>
        <v>91.1</v>
      </c>
    </row>
    <row r="144" spans="1:9">
      <c r="A144" s="12" t="s">
        <v>50</v>
      </c>
      <c r="B144" t="s">
        <v>174</v>
      </c>
      <c r="D144" s="7">
        <f>D110</f>
        <v>106.77</v>
      </c>
    </row>
    <row r="145" spans="1:4">
      <c r="A145" s="12" t="s">
        <v>53</v>
      </c>
      <c r="B145" t="s">
        <v>152</v>
      </c>
      <c r="D145" s="7">
        <f>D119</f>
        <v>0</v>
      </c>
    </row>
    <row r="146" spans="1:4">
      <c r="B146" s="89" t="s">
        <v>255</v>
      </c>
      <c r="D146" s="7">
        <f>TRUNC(SUM(D141:D145),2)</f>
        <v>3274.78</v>
      </c>
    </row>
    <row r="147" spans="1:4">
      <c r="A147" s="12" t="s">
        <v>55</v>
      </c>
      <c r="B147" t="s">
        <v>164</v>
      </c>
      <c r="D147" s="7">
        <f>D136</f>
        <v>510.84</v>
      </c>
    </row>
    <row r="148" spans="1:4">
      <c r="A148" s="101"/>
      <c r="B148" s="91" t="s">
        <v>256</v>
      </c>
      <c r="C148" s="20"/>
      <c r="D148" s="92">
        <f>TRUNC((SUM(D141:D145)+D147),2)</f>
        <v>3785.62</v>
      </c>
    </row>
  </sheetData>
  <mergeCells count="38">
    <mergeCell ref="A128:D128"/>
    <mergeCell ref="H129:I129"/>
    <mergeCell ref="A139:D139"/>
    <mergeCell ref="J116:K116"/>
    <mergeCell ref="H117:I117"/>
    <mergeCell ref="J117:K117"/>
    <mergeCell ref="H118:K119"/>
    <mergeCell ref="A121:B126"/>
    <mergeCell ref="A91:D91"/>
    <mergeCell ref="A101:D101"/>
    <mergeCell ref="A106:D106"/>
    <mergeCell ref="A112:D112"/>
    <mergeCell ref="H116:I116"/>
    <mergeCell ref="A57:D57"/>
    <mergeCell ref="A68:D68"/>
    <mergeCell ref="A75:D75"/>
    <mergeCell ref="A85:B88"/>
    <mergeCell ref="A90:D90"/>
    <mergeCell ref="H31:I31"/>
    <mergeCell ref="A33:D33"/>
    <mergeCell ref="A35:D35"/>
    <mergeCell ref="A41:B43"/>
    <mergeCell ref="A45:D45"/>
    <mergeCell ref="A14:B14"/>
    <mergeCell ref="A15:D15"/>
    <mergeCell ref="H15:I15"/>
    <mergeCell ref="H22:I22"/>
    <mergeCell ref="A23:D23"/>
    <mergeCell ref="C9:D9"/>
    <mergeCell ref="C10:D10"/>
    <mergeCell ref="A11:D11"/>
    <mergeCell ref="A12:B12"/>
    <mergeCell ref="A13:B13"/>
    <mergeCell ref="A2:D2"/>
    <mergeCell ref="A3:D3"/>
    <mergeCell ref="A6:D6"/>
    <mergeCell ref="C7:D7"/>
    <mergeCell ref="C8:D8"/>
  </mergeCells>
  <pageMargins left="0.25" right="0.25" top="0.75" bottom="0.75" header="0.511811023622047" footer="0.511811023622047"/>
  <pageSetup paperSize="9" scale="75" fitToHeight="0" orientation="portrait" horizontalDpi="300" verticalDpi="300"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K148"/>
  <sheetViews>
    <sheetView view="pageBreakPreview" topLeftCell="A121" zoomScaleNormal="100" workbookViewId="0">
      <selection activeCell="H120" sqref="H120"/>
    </sheetView>
  </sheetViews>
  <sheetFormatPr defaultColWidth="9.140625" defaultRowHeight="15"/>
  <cols>
    <col min="1" max="1" width="11.28515625" style="12" customWidth="1"/>
    <col min="2" max="2" width="50.7109375" customWidth="1"/>
    <col min="3" max="3" width="30" customWidth="1"/>
    <col min="4" max="4" width="41" customWidth="1"/>
    <col min="6" max="7" width="11.5703125" hidden="1" customWidth="1"/>
    <col min="8" max="8" width="22.85546875" customWidth="1"/>
    <col min="9" max="9" width="15.42578125" customWidth="1"/>
    <col min="10" max="10" width="10.7109375" customWidth="1"/>
    <col min="11" max="11" width="11.85546875" customWidth="1"/>
  </cols>
  <sheetData>
    <row r="2" spans="1:9" ht="18.75">
      <c r="A2" s="196" t="s">
        <v>194</v>
      </c>
      <c r="B2" s="196"/>
      <c r="C2" s="196"/>
      <c r="D2" s="196"/>
    </row>
    <row r="3" spans="1:9">
      <c r="A3" s="213" t="str">
        <f>Pedreiro!A3</f>
        <v>Processo Administrativo n.° 23324.000830.2025-46</v>
      </c>
      <c r="B3" s="213"/>
      <c r="C3" s="213"/>
      <c r="D3" s="213"/>
    </row>
    <row r="4" spans="1:9">
      <c r="A4" s="102" t="s">
        <v>195</v>
      </c>
      <c r="B4" s="33" t="s">
        <v>392</v>
      </c>
      <c r="C4" s="34"/>
      <c r="D4" s="34"/>
    </row>
    <row r="5" spans="1:9">
      <c r="A5" s="10"/>
      <c r="B5" s="36"/>
      <c r="C5" s="36"/>
      <c r="D5" s="36"/>
    </row>
    <row r="6" spans="1:9">
      <c r="A6" s="198" t="s">
        <v>196</v>
      </c>
      <c r="B6" s="198"/>
      <c r="C6" s="198"/>
      <c r="D6" s="198"/>
    </row>
    <row r="7" spans="1:9">
      <c r="A7" s="37" t="s">
        <v>42</v>
      </c>
      <c r="B7" s="38" t="s">
        <v>197</v>
      </c>
      <c r="C7" s="199" t="s">
        <v>198</v>
      </c>
      <c r="D7" s="199"/>
    </row>
    <row r="8" spans="1:9">
      <c r="A8" s="39" t="s">
        <v>45</v>
      </c>
      <c r="B8" s="40" t="s">
        <v>199</v>
      </c>
      <c r="C8" s="200" t="s">
        <v>200</v>
      </c>
      <c r="D8" s="200"/>
    </row>
    <row r="9" spans="1:9">
      <c r="A9" s="42" t="s">
        <v>48</v>
      </c>
      <c r="B9" s="43" t="s">
        <v>201</v>
      </c>
      <c r="C9" s="200" t="str">
        <f>Pedreiro!C9</f>
        <v>CCT PB000113/2025</v>
      </c>
      <c r="D9" s="200"/>
    </row>
    <row r="10" spans="1:9">
      <c r="A10" s="39" t="s">
        <v>53</v>
      </c>
      <c r="B10" s="40" t="s">
        <v>202</v>
      </c>
      <c r="C10" s="200" t="s">
        <v>203</v>
      </c>
      <c r="D10" s="200"/>
    </row>
    <row r="11" spans="1:9">
      <c r="A11" s="202" t="s">
        <v>204</v>
      </c>
      <c r="B11" s="202"/>
      <c r="C11" s="202"/>
      <c r="D11" s="202"/>
    </row>
    <row r="12" spans="1:9" ht="15" customHeight="1">
      <c r="A12" s="203" t="s">
        <v>205</v>
      </c>
      <c r="B12" s="203"/>
      <c r="C12" s="44" t="s">
        <v>206</v>
      </c>
      <c r="D12" s="45" t="s">
        <v>207</v>
      </c>
    </row>
    <row r="13" spans="1:9">
      <c r="A13" s="204" t="s">
        <v>265</v>
      </c>
      <c r="B13" s="204"/>
      <c r="C13" s="41" t="s">
        <v>394</v>
      </c>
      <c r="D13" s="46">
        <v>1</v>
      </c>
    </row>
    <row r="14" spans="1:9">
      <c r="A14" s="205"/>
      <c r="B14" s="205"/>
      <c r="C14" s="41"/>
      <c r="D14" s="47"/>
    </row>
    <row r="15" spans="1:9">
      <c r="A15" s="202" t="s">
        <v>14</v>
      </c>
      <c r="B15" s="202"/>
      <c r="C15" s="202"/>
      <c r="D15" s="202"/>
      <c r="H15" s="190"/>
      <c r="I15" s="190"/>
    </row>
    <row r="16" spans="1:9">
      <c r="A16" s="12" t="s">
        <v>16</v>
      </c>
      <c r="B16" t="s">
        <v>17</v>
      </c>
      <c r="C16" s="1" t="s">
        <v>18</v>
      </c>
      <c r="D16" s="1" t="s">
        <v>19</v>
      </c>
    </row>
    <row r="17" spans="1:9">
      <c r="A17" s="12">
        <v>1</v>
      </c>
      <c r="B17" t="s">
        <v>20</v>
      </c>
      <c r="C17" s="4" t="s">
        <v>102</v>
      </c>
      <c r="D17" s="4" t="str">
        <f>A13</f>
        <v>Jardineiro</v>
      </c>
    </row>
    <row r="18" spans="1:9">
      <c r="A18" s="12">
        <v>2</v>
      </c>
      <c r="B18" t="s">
        <v>23</v>
      </c>
      <c r="C18" s="4" t="s">
        <v>210</v>
      </c>
      <c r="D18" s="4" t="s">
        <v>266</v>
      </c>
    </row>
    <row r="19" spans="1:9">
      <c r="A19" s="12">
        <v>3</v>
      </c>
      <c r="B19" t="s">
        <v>26</v>
      </c>
      <c r="C19" s="4" t="str">
        <f>C9</f>
        <v>CCT PB000113/2025</v>
      </c>
      <c r="D19" s="49">
        <v>1536.73</v>
      </c>
    </row>
    <row r="20" spans="1:9">
      <c r="A20" s="12">
        <v>4</v>
      </c>
      <c r="B20" t="s">
        <v>29</v>
      </c>
      <c r="C20" s="4" t="str">
        <f>C9</f>
        <v>CCT PB000113/2025</v>
      </c>
      <c r="D20" s="4" t="s">
        <v>212</v>
      </c>
    </row>
    <row r="21" spans="1:9">
      <c r="A21" s="12">
        <v>5</v>
      </c>
      <c r="B21" t="s">
        <v>33</v>
      </c>
      <c r="C21" s="4" t="str">
        <f>C9</f>
        <v>CCT PB000113/2025</v>
      </c>
      <c r="D21" s="50" t="s">
        <v>213</v>
      </c>
    </row>
    <row r="22" spans="1:9">
      <c r="H22" s="190"/>
      <c r="I22" s="190"/>
    </row>
    <row r="23" spans="1:9">
      <c r="A23" s="198" t="s">
        <v>36</v>
      </c>
      <c r="B23" s="198"/>
      <c r="C23" s="198"/>
      <c r="D23" s="198"/>
    </row>
    <row r="24" spans="1:9">
      <c r="A24" s="12" t="s">
        <v>39</v>
      </c>
      <c r="B24" t="s">
        <v>40</v>
      </c>
      <c r="C24" s="1" t="s">
        <v>18</v>
      </c>
      <c r="D24" s="1" t="s">
        <v>19</v>
      </c>
      <c r="I24" s="6"/>
    </row>
    <row r="25" spans="1:9">
      <c r="A25" s="12" t="s">
        <v>42</v>
      </c>
      <c r="B25" t="s">
        <v>43</v>
      </c>
      <c r="C25" s="4" t="s">
        <v>267</v>
      </c>
      <c r="D25" s="49">
        <f>D19</f>
        <v>1536.73</v>
      </c>
      <c r="I25" s="6"/>
    </row>
    <row r="26" spans="1:9">
      <c r="A26" s="12" t="s">
        <v>45</v>
      </c>
      <c r="B26" t="s">
        <v>215</v>
      </c>
      <c r="C26" s="4"/>
      <c r="D26" s="49">
        <v>0</v>
      </c>
      <c r="I26" s="6"/>
    </row>
    <row r="27" spans="1:9">
      <c r="A27" s="12" t="s">
        <v>48</v>
      </c>
      <c r="B27" t="s">
        <v>216</v>
      </c>
      <c r="C27" s="4"/>
      <c r="D27" s="49">
        <v>0</v>
      </c>
    </row>
    <row r="28" spans="1:9">
      <c r="A28" s="12" t="s">
        <v>50</v>
      </c>
      <c r="B28" t="s">
        <v>51</v>
      </c>
      <c r="C28" s="4"/>
      <c r="D28" s="49">
        <v>0</v>
      </c>
    </row>
    <row r="29" spans="1:9">
      <c r="A29" s="12" t="s">
        <v>53</v>
      </c>
      <c r="B29" t="s">
        <v>54</v>
      </c>
      <c r="C29" s="4"/>
      <c r="D29" s="49">
        <v>0</v>
      </c>
    </row>
    <row r="30" spans="1:9">
      <c r="A30" s="12" t="s">
        <v>55</v>
      </c>
      <c r="B30" t="s">
        <v>56</v>
      </c>
      <c r="C30" s="4"/>
      <c r="D30" s="49">
        <v>0</v>
      </c>
    </row>
    <row r="31" spans="1:9">
      <c r="A31" s="12" t="s">
        <v>58</v>
      </c>
      <c r="C31" s="1"/>
      <c r="D31" s="7">
        <f>TRUNC((SUM(D25:D30)),2)</f>
        <v>1536.73</v>
      </c>
      <c r="H31" s="190"/>
      <c r="I31" s="190"/>
    </row>
    <row r="32" spans="1:9">
      <c r="B32" s="51" t="s">
        <v>217</v>
      </c>
    </row>
    <row r="33" spans="1:9">
      <c r="A33" s="206" t="s">
        <v>61</v>
      </c>
      <c r="B33" s="206"/>
      <c r="C33" s="206"/>
      <c r="D33" s="206"/>
      <c r="I33" s="6"/>
    </row>
    <row r="35" spans="1:9">
      <c r="A35" s="193" t="s">
        <v>63</v>
      </c>
      <c r="B35" s="193"/>
      <c r="C35" s="193"/>
      <c r="D35" s="193"/>
    </row>
    <row r="36" spans="1:9">
      <c r="A36" s="12" t="s">
        <v>65</v>
      </c>
      <c r="B36" t="s">
        <v>66</v>
      </c>
      <c r="C36" s="1" t="s">
        <v>38</v>
      </c>
      <c r="D36" s="1" t="s">
        <v>19</v>
      </c>
    </row>
    <row r="37" spans="1:9">
      <c r="A37" s="12" t="s">
        <v>42</v>
      </c>
      <c r="B37" t="s">
        <v>67</v>
      </c>
      <c r="C37" s="17">
        <f>(1/12)</f>
        <v>8.3333333333333329E-2</v>
      </c>
      <c r="D37" s="7">
        <f>TRUNC($D$31*C37,2)</f>
        <v>128.06</v>
      </c>
    </row>
    <row r="38" spans="1:9">
      <c r="A38" s="12" t="s">
        <v>45</v>
      </c>
      <c r="B38" t="s">
        <v>68</v>
      </c>
      <c r="C38" s="17">
        <f>(((1+1/3)/12))</f>
        <v>0.1111111111111111</v>
      </c>
      <c r="D38" s="7">
        <f>TRUNC($D$31*C38,2)</f>
        <v>170.74</v>
      </c>
    </row>
    <row r="39" spans="1:9">
      <c r="A39" s="12" t="s">
        <v>58</v>
      </c>
      <c r="D39" s="7">
        <f>TRUNC((SUM(D37:D38)),2)</f>
        <v>298.8</v>
      </c>
    </row>
    <row r="40" spans="1:9">
      <c r="D40" s="7"/>
    </row>
    <row r="41" spans="1:9">
      <c r="A41" s="206" t="s">
        <v>218</v>
      </c>
      <c r="B41" s="206"/>
      <c r="C41" s="52" t="s">
        <v>219</v>
      </c>
      <c r="D41" s="53">
        <f>D31</f>
        <v>1536.73</v>
      </c>
    </row>
    <row r="42" spans="1:9">
      <c r="A42" s="206"/>
      <c r="B42" s="206"/>
      <c r="C42" s="54" t="s">
        <v>220</v>
      </c>
      <c r="D42" s="53">
        <f>D39</f>
        <v>298.8</v>
      </c>
    </row>
    <row r="43" spans="1:9">
      <c r="A43" s="206"/>
      <c r="B43" s="206"/>
      <c r="C43" s="52" t="s">
        <v>221</v>
      </c>
      <c r="D43" s="55">
        <f>TRUNC((SUM(D41:D42)),2)</f>
        <v>1835.53</v>
      </c>
    </row>
    <row r="44" spans="1:9">
      <c r="C44" s="18"/>
      <c r="D44" s="7"/>
    </row>
    <row r="45" spans="1:9">
      <c r="A45" s="193" t="s">
        <v>77</v>
      </c>
      <c r="B45" s="193"/>
      <c r="C45" s="193"/>
      <c r="D45" s="193"/>
    </row>
    <row r="46" spans="1:9">
      <c r="A46" s="12" t="s">
        <v>78</v>
      </c>
      <c r="B46" t="s">
        <v>79</v>
      </c>
      <c r="C46" s="1" t="s">
        <v>38</v>
      </c>
      <c r="D46" s="1" t="s">
        <v>80</v>
      </c>
    </row>
    <row r="47" spans="1:9">
      <c r="A47" s="12" t="s">
        <v>42</v>
      </c>
      <c r="B47" t="s">
        <v>81</v>
      </c>
      <c r="C47" s="17">
        <v>0.2</v>
      </c>
      <c r="D47" s="7">
        <f t="shared" ref="D47:D54" si="0">TRUNC(($D$43*C47),2)</f>
        <v>367.1</v>
      </c>
    </row>
    <row r="48" spans="1:9">
      <c r="A48" s="12" t="s">
        <v>45</v>
      </c>
      <c r="B48" t="s">
        <v>82</v>
      </c>
      <c r="C48" s="17">
        <v>2.5000000000000001E-2</v>
      </c>
      <c r="D48" s="7">
        <f t="shared" si="0"/>
        <v>45.88</v>
      </c>
    </row>
    <row r="49" spans="1:8">
      <c r="A49" s="12" t="s">
        <v>48</v>
      </c>
      <c r="B49" t="s">
        <v>222</v>
      </c>
      <c r="C49" s="56">
        <v>0</v>
      </c>
      <c r="D49" s="49">
        <f t="shared" si="0"/>
        <v>0</v>
      </c>
    </row>
    <row r="50" spans="1:8">
      <c r="A50" s="12" t="s">
        <v>50</v>
      </c>
      <c r="B50" t="s">
        <v>84</v>
      </c>
      <c r="C50" s="17">
        <v>1.4999999999999999E-2</v>
      </c>
      <c r="D50" s="7">
        <f t="shared" si="0"/>
        <v>27.53</v>
      </c>
    </row>
    <row r="51" spans="1:8">
      <c r="A51" s="12" t="s">
        <v>53</v>
      </c>
      <c r="B51" t="s">
        <v>85</v>
      </c>
      <c r="C51" s="17">
        <v>0.01</v>
      </c>
      <c r="D51" s="7">
        <f t="shared" si="0"/>
        <v>18.350000000000001</v>
      </c>
    </row>
    <row r="52" spans="1:8">
      <c r="A52" s="12" t="s">
        <v>55</v>
      </c>
      <c r="B52" t="s">
        <v>86</v>
      </c>
      <c r="C52" s="17">
        <v>6.0000000000000001E-3</v>
      </c>
      <c r="D52" s="7">
        <f t="shared" si="0"/>
        <v>11.01</v>
      </c>
    </row>
    <row r="53" spans="1:8">
      <c r="A53" s="12" t="s">
        <v>87</v>
      </c>
      <c r="B53" t="s">
        <v>88</v>
      </c>
      <c r="C53" s="17">
        <v>2E-3</v>
      </c>
      <c r="D53" s="7">
        <f t="shared" si="0"/>
        <v>3.67</v>
      </c>
    </row>
    <row r="54" spans="1:8">
      <c r="A54" s="12" t="s">
        <v>89</v>
      </c>
      <c r="B54" t="s">
        <v>90</v>
      </c>
      <c r="C54" s="17">
        <v>0.08</v>
      </c>
      <c r="D54" s="7">
        <f t="shared" si="0"/>
        <v>146.84</v>
      </c>
    </row>
    <row r="55" spans="1:8">
      <c r="A55" s="12" t="s">
        <v>58</v>
      </c>
      <c r="C55" s="18">
        <f>SUM(C47:C54)</f>
        <v>0.33800000000000002</v>
      </c>
      <c r="D55" s="7">
        <f>TRUNC((SUM(D47:D54)),2)</f>
        <v>620.38</v>
      </c>
    </row>
    <row r="56" spans="1:8">
      <c r="C56" s="18"/>
      <c r="D56" s="7"/>
    </row>
    <row r="57" spans="1:8">
      <c r="A57" s="193" t="s">
        <v>95</v>
      </c>
      <c r="B57" s="193"/>
      <c r="C57" s="193"/>
      <c r="D57" s="193"/>
    </row>
    <row r="58" spans="1:8">
      <c r="A58" s="12" t="s">
        <v>96</v>
      </c>
      <c r="B58" t="s">
        <v>97</v>
      </c>
      <c r="C58" s="1" t="s">
        <v>18</v>
      </c>
      <c r="D58" s="1" t="s">
        <v>19</v>
      </c>
    </row>
    <row r="59" spans="1:8">
      <c r="A59" s="12" t="s">
        <v>42</v>
      </c>
      <c r="B59" t="s">
        <v>98</v>
      </c>
      <c r="C59" s="4"/>
      <c r="D59" s="49">
        <v>0</v>
      </c>
    </row>
    <row r="60" spans="1:8">
      <c r="A60" s="12" t="s">
        <v>45</v>
      </c>
      <c r="B60" t="s">
        <v>99</v>
      </c>
      <c r="C60" s="4" t="str">
        <f>C9</f>
        <v>CCT PB000113/2025</v>
      </c>
      <c r="D60" s="49">
        <f>Submódulo2.356_53112[[#This Row],[Valor]]</f>
        <v>540</v>
      </c>
    </row>
    <row r="61" spans="1:8">
      <c r="A61" s="12" t="s">
        <v>48</v>
      </c>
      <c r="B61" t="s">
        <v>100</v>
      </c>
      <c r="C61" s="4"/>
      <c r="D61" s="49">
        <v>0</v>
      </c>
    </row>
    <row r="62" spans="1:8">
      <c r="A62" s="12" t="s">
        <v>50</v>
      </c>
      <c r="B62" s="57" t="s">
        <v>223</v>
      </c>
      <c r="C62" s="58"/>
      <c r="D62" s="58">
        <v>0</v>
      </c>
      <c r="H62" s="16"/>
    </row>
    <row r="63" spans="1:8">
      <c r="A63" s="12" t="s">
        <v>53</v>
      </c>
      <c r="B63" t="s">
        <v>224</v>
      </c>
      <c r="C63" s="4" t="str">
        <f>C60</f>
        <v>CCT PB000113/2025</v>
      </c>
      <c r="D63" s="49">
        <v>25</v>
      </c>
    </row>
    <row r="64" spans="1:8">
      <c r="A64" s="12" t="s">
        <v>55</v>
      </c>
      <c r="B64" s="59" t="s">
        <v>225</v>
      </c>
      <c r="C64" s="4" t="str">
        <f>C9</f>
        <v>CCT PB000113/2025</v>
      </c>
      <c r="D64" s="49">
        <v>6</v>
      </c>
    </row>
    <row r="65" spans="1:4">
      <c r="A65" s="12" t="s">
        <v>87</v>
      </c>
      <c r="B65" s="59" t="s">
        <v>226</v>
      </c>
      <c r="C65" s="58" t="str">
        <f>C60</f>
        <v>CCT PB000113/2025</v>
      </c>
      <c r="D65" s="49">
        <v>50</v>
      </c>
    </row>
    <row r="66" spans="1:4">
      <c r="A66" s="12" t="s">
        <v>58</v>
      </c>
      <c r="D66" s="7">
        <f>TRUNC((SUM(D59:D65)),2)</f>
        <v>621</v>
      </c>
    </row>
    <row r="67" spans="1:4">
      <c r="D67" s="7"/>
    </row>
    <row r="68" spans="1:4">
      <c r="A68" s="193" t="s">
        <v>105</v>
      </c>
      <c r="B68" s="193"/>
      <c r="C68" s="193"/>
      <c r="D68" s="193"/>
    </row>
    <row r="69" spans="1:4">
      <c r="A69" s="12" t="s">
        <v>106</v>
      </c>
      <c r="B69" t="s">
        <v>107</v>
      </c>
      <c r="C69" s="1" t="s">
        <v>18</v>
      </c>
      <c r="D69" s="1" t="s">
        <v>19</v>
      </c>
    </row>
    <row r="70" spans="1:4">
      <c r="A70" s="12" t="s">
        <v>65</v>
      </c>
      <c r="B70" t="s">
        <v>66</v>
      </c>
      <c r="C70" s="1"/>
      <c r="D70" s="7">
        <f>D39</f>
        <v>298.8</v>
      </c>
    </row>
    <row r="71" spans="1:4">
      <c r="A71" s="12" t="s">
        <v>78</v>
      </c>
      <c r="B71" t="s">
        <v>79</v>
      </c>
      <c r="C71" s="1"/>
      <c r="D71" s="7">
        <f>D55</f>
        <v>620.38</v>
      </c>
    </row>
    <row r="72" spans="1:4">
      <c r="A72" s="12" t="s">
        <v>96</v>
      </c>
      <c r="B72" t="s">
        <v>97</v>
      </c>
      <c r="C72" s="1"/>
      <c r="D72" s="7">
        <f>D66</f>
        <v>621</v>
      </c>
    </row>
    <row r="73" spans="1:4">
      <c r="A73" s="12" t="s">
        <v>58</v>
      </c>
      <c r="C73" s="1"/>
      <c r="D73" s="7">
        <f>TRUNC((SUM(D70:D72)),2)</f>
        <v>1540.18</v>
      </c>
    </row>
    <row r="75" spans="1:4">
      <c r="A75" s="198" t="s">
        <v>108</v>
      </c>
      <c r="B75" s="198"/>
      <c r="C75" s="198"/>
      <c r="D75" s="198"/>
    </row>
    <row r="76" spans="1:4">
      <c r="A76" s="12" t="s">
        <v>109</v>
      </c>
      <c r="B76" t="s">
        <v>110</v>
      </c>
      <c r="C76" s="1" t="s">
        <v>38</v>
      </c>
      <c r="D76" s="1" t="s">
        <v>19</v>
      </c>
    </row>
    <row r="77" spans="1:4">
      <c r="A77" s="12" t="s">
        <v>42</v>
      </c>
      <c r="B77" t="s">
        <v>111</v>
      </c>
      <c r="C77" s="56">
        <f>((1/12)*2%)</f>
        <v>1.6666666666666666E-3</v>
      </c>
      <c r="D77" s="49">
        <f>TRUNC(($D$31*C77),2)</f>
        <v>2.56</v>
      </c>
    </row>
    <row r="78" spans="1:4">
      <c r="A78" s="12" t="s">
        <v>45</v>
      </c>
      <c r="B78" t="s">
        <v>112</v>
      </c>
      <c r="C78" s="61">
        <v>0.08</v>
      </c>
      <c r="D78" s="7">
        <f>TRUNC(($D$77*C78),2)</f>
        <v>0.2</v>
      </c>
    </row>
    <row r="79" spans="1:4" ht="30">
      <c r="A79" s="12" t="s">
        <v>48</v>
      </c>
      <c r="B79" s="95" t="s">
        <v>113</v>
      </c>
      <c r="C79" s="63">
        <f>(0.08*0.4*0.02)</f>
        <v>6.4000000000000005E-4</v>
      </c>
      <c r="D79" s="58">
        <f>TRUNC(($D$31*C79),2)</f>
        <v>0.98</v>
      </c>
    </row>
    <row r="80" spans="1:4">
      <c r="A80" s="12" t="s">
        <v>50</v>
      </c>
      <c r="B80" t="s">
        <v>114</v>
      </c>
      <c r="C80" s="61">
        <f>(((7/30)/12)*0.98)</f>
        <v>1.9055555555555555E-2</v>
      </c>
      <c r="D80" s="7">
        <f>TRUNC(($D$31*C80),2)</f>
        <v>29.28</v>
      </c>
    </row>
    <row r="81" spans="1:4" ht="30">
      <c r="A81" s="12" t="s">
        <v>53</v>
      </c>
      <c r="B81" s="95" t="s">
        <v>227</v>
      </c>
      <c r="C81" s="63">
        <f>C55</f>
        <v>0.33800000000000002</v>
      </c>
      <c r="D81" s="58">
        <f>TRUNC(($D$80*C81),2)</f>
        <v>9.89</v>
      </c>
    </row>
    <row r="82" spans="1:4" ht="30">
      <c r="A82" s="12" t="s">
        <v>55</v>
      </c>
      <c r="B82" s="95" t="s">
        <v>115</v>
      </c>
      <c r="C82" s="63">
        <f>(0.08*0.4*0.98)</f>
        <v>3.1359999999999999E-2</v>
      </c>
      <c r="D82" s="58">
        <f>TRUNC(($D$31*C82),2)</f>
        <v>48.19</v>
      </c>
    </row>
    <row r="83" spans="1:4">
      <c r="A83" s="12" t="s">
        <v>58</v>
      </c>
      <c r="C83" s="61">
        <f>SUM(C77:C82)</f>
        <v>0.47072222222222221</v>
      </c>
      <c r="D83" s="7">
        <f>TRUNC((SUM(D77:D82)),2)</f>
        <v>91.1</v>
      </c>
    </row>
    <row r="84" spans="1:4">
      <c r="D84" s="7"/>
    </row>
    <row r="85" spans="1:4">
      <c r="A85" s="206" t="s">
        <v>228</v>
      </c>
      <c r="B85" s="206"/>
      <c r="C85" s="52" t="s">
        <v>219</v>
      </c>
      <c r="D85" s="53">
        <f>D31</f>
        <v>1536.73</v>
      </c>
    </row>
    <row r="86" spans="1:4">
      <c r="A86" s="206"/>
      <c r="B86" s="206"/>
      <c r="C86" s="54" t="s">
        <v>229</v>
      </c>
      <c r="D86" s="53">
        <f>D73</f>
        <v>1540.18</v>
      </c>
    </row>
    <row r="87" spans="1:4">
      <c r="A87" s="206"/>
      <c r="B87" s="206"/>
      <c r="C87" s="52" t="s">
        <v>230</v>
      </c>
      <c r="D87" s="53">
        <f>D83</f>
        <v>91.1</v>
      </c>
    </row>
    <row r="88" spans="1:4">
      <c r="A88" s="206"/>
      <c r="B88" s="206"/>
      <c r="C88" s="54" t="s">
        <v>221</v>
      </c>
      <c r="D88" s="55">
        <f>TRUNC((SUM(D85:D87)),2)</f>
        <v>3168.01</v>
      </c>
    </row>
    <row r="89" spans="1:4">
      <c r="D89" s="7"/>
    </row>
    <row r="90" spans="1:4" ht="35.1" customHeight="1">
      <c r="A90" s="207" t="s">
        <v>127</v>
      </c>
      <c r="B90" s="207"/>
      <c r="C90" s="207"/>
      <c r="D90" s="207"/>
    </row>
    <row r="91" spans="1:4">
      <c r="A91" s="193" t="s">
        <v>128</v>
      </c>
      <c r="B91" s="193"/>
      <c r="C91" s="193"/>
      <c r="D91" s="193"/>
    </row>
    <row r="92" spans="1:4">
      <c r="A92" s="12" t="s">
        <v>129</v>
      </c>
      <c r="B92" t="s">
        <v>130</v>
      </c>
      <c r="C92" s="1" t="s">
        <v>38</v>
      </c>
      <c r="D92" s="1" t="s">
        <v>19</v>
      </c>
    </row>
    <row r="93" spans="1:4">
      <c r="A93" s="12" t="s">
        <v>42</v>
      </c>
      <c r="B93" t="s">
        <v>132</v>
      </c>
      <c r="C93" s="61">
        <f>(((1+1/3)/12)/12)+((1/12)/12)</f>
        <v>1.6203703703703703E-2</v>
      </c>
      <c r="D93" s="7">
        <f>TRUNC(($D$88*C93),2)</f>
        <v>51.33</v>
      </c>
    </row>
    <row r="94" spans="1:4">
      <c r="A94" s="12" t="s">
        <v>45</v>
      </c>
      <c r="B94" t="s">
        <v>133</v>
      </c>
      <c r="C94" s="56">
        <f>((5/30)/12)</f>
        <v>1.3888888888888888E-2</v>
      </c>
      <c r="D94" s="58">
        <f>TRUNC(($D$88*C94),2)</f>
        <v>44</v>
      </c>
    </row>
    <row r="95" spans="1:4">
      <c r="A95" s="12" t="s">
        <v>48</v>
      </c>
      <c r="B95" t="s">
        <v>134</v>
      </c>
      <c r="C95" s="56">
        <f>((5/30)/12)*0.02</f>
        <v>2.7777777777777778E-4</v>
      </c>
      <c r="D95" s="58">
        <f>TRUNC(($D$88*C95),2)</f>
        <v>0.88</v>
      </c>
    </row>
    <row r="96" spans="1:4" ht="30">
      <c r="A96" s="12" t="s">
        <v>50</v>
      </c>
      <c r="B96" s="95" t="s">
        <v>135</v>
      </c>
      <c r="C96" s="63">
        <f>((15/30)/12)*0.08</f>
        <v>3.3333333333333331E-3</v>
      </c>
      <c r="D96" s="58">
        <f>TRUNC(($D$88*C96),2)</f>
        <v>10.56</v>
      </c>
    </row>
    <row r="97" spans="1:4">
      <c r="A97" s="12" t="s">
        <v>53</v>
      </c>
      <c r="B97" t="s">
        <v>136</v>
      </c>
      <c r="C97" s="56">
        <f>((1+1/3)/12)*0.00001*((4/12))</f>
        <v>3.7037037037037031E-7</v>
      </c>
      <c r="D97" s="58">
        <f>TRUNC(($D$88*C97),2)</f>
        <v>0</v>
      </c>
    </row>
    <row r="98" spans="1:4" ht="30">
      <c r="A98" s="12" t="s">
        <v>55</v>
      </c>
      <c r="B98" s="95" t="s">
        <v>231</v>
      </c>
      <c r="C98" s="96">
        <v>0</v>
      </c>
      <c r="D98" s="58">
        <f>TRUNC($D$88*C98)</f>
        <v>0</v>
      </c>
    </row>
    <row r="99" spans="1:4">
      <c r="A99" s="12" t="s">
        <v>58</v>
      </c>
      <c r="C99" s="61">
        <f>SUBTOTAL(109,Submódulo4.159[Percentual])</f>
        <v>3.3704074074074074E-2</v>
      </c>
      <c r="D99" s="7">
        <f>TRUNC((SUM(D93:D98)),2)</f>
        <v>106.77</v>
      </c>
    </row>
    <row r="100" spans="1:4">
      <c r="C100" s="1"/>
      <c r="D100" s="7"/>
    </row>
    <row r="101" spans="1:4">
      <c r="A101" s="193" t="s">
        <v>144</v>
      </c>
      <c r="B101" s="193"/>
      <c r="C101" s="193"/>
      <c r="D101" s="193"/>
    </row>
    <row r="102" spans="1:4">
      <c r="A102" s="12" t="s">
        <v>145</v>
      </c>
      <c r="B102" t="s">
        <v>146</v>
      </c>
      <c r="C102" s="1" t="s">
        <v>18</v>
      </c>
      <c r="D102" s="1" t="s">
        <v>19</v>
      </c>
    </row>
    <row r="103" spans="1:4" ht="90">
      <c r="A103" s="12" t="s">
        <v>42</v>
      </c>
      <c r="B103" s="70" t="s">
        <v>147</v>
      </c>
      <c r="C103" s="71" t="s">
        <v>232</v>
      </c>
      <c r="D103" s="72" t="s">
        <v>233</v>
      </c>
    </row>
    <row r="104" spans="1:4">
      <c r="A104" s="12" t="s">
        <v>58</v>
      </c>
      <c r="C104" s="73"/>
      <c r="D104" s="74" t="str">
        <f>D103</f>
        <v>*=TRUNCAR(($D$86/220)*(1*(365/12))/2)</v>
      </c>
    </row>
    <row r="106" spans="1:4">
      <c r="A106" s="193" t="s">
        <v>148</v>
      </c>
      <c r="B106" s="193"/>
      <c r="C106" s="193"/>
      <c r="D106" s="193"/>
    </row>
    <row r="107" spans="1:4">
      <c r="A107" s="12" t="s">
        <v>149</v>
      </c>
      <c r="B107" t="s">
        <v>150</v>
      </c>
      <c r="C107" s="1" t="s">
        <v>18</v>
      </c>
      <c r="D107" s="1" t="s">
        <v>19</v>
      </c>
    </row>
    <row r="108" spans="1:4">
      <c r="A108" s="12" t="s">
        <v>129</v>
      </c>
      <c r="B108" t="s">
        <v>130</v>
      </c>
      <c r="D108" s="49">
        <f>D99</f>
        <v>106.77</v>
      </c>
    </row>
    <row r="109" spans="1:4">
      <c r="A109" s="12" t="s">
        <v>145</v>
      </c>
      <c r="B109" t="s">
        <v>151</v>
      </c>
      <c r="D109" s="75" t="str">
        <f>Submódulo4.260[[#Totals],[Valor]]</f>
        <v>*=TRUNCAR(($D$86/220)*(1*(365/12))/2)</v>
      </c>
    </row>
    <row r="110" spans="1:4" ht="60">
      <c r="A110" s="12" t="s">
        <v>58</v>
      </c>
      <c r="B110" s="16"/>
      <c r="C110" s="71" t="s">
        <v>234</v>
      </c>
      <c r="D110" s="76">
        <f>TRUNC((SUM(D108:D109)),2)</f>
        <v>106.77</v>
      </c>
    </row>
    <row r="112" spans="1:4">
      <c r="A112" s="198" t="s">
        <v>152</v>
      </c>
      <c r="B112" s="198"/>
      <c r="C112" s="198"/>
      <c r="D112" s="198"/>
    </row>
    <row r="113" spans="1:11" ht="30">
      <c r="A113" s="12" t="s">
        <v>153</v>
      </c>
      <c r="B113" t="s">
        <v>154</v>
      </c>
      <c r="C113" s="1" t="s">
        <v>18</v>
      </c>
      <c r="D113" s="1" t="s">
        <v>19</v>
      </c>
      <c r="H113" s="77" t="s">
        <v>235</v>
      </c>
      <c r="I113" s="78" t="s">
        <v>236</v>
      </c>
      <c r="J113" s="78" t="s">
        <v>237</v>
      </c>
      <c r="K113" s="78" t="s">
        <v>238</v>
      </c>
    </row>
    <row r="114" spans="1:11">
      <c r="A114" s="12" t="s">
        <v>42</v>
      </c>
      <c r="B114" t="s">
        <v>239</v>
      </c>
      <c r="D114" s="79">
        <f>F114</f>
        <v>0</v>
      </c>
      <c r="F114">
        <f t="array" ref="F114:G114">'Uniformes e EPI'!G103:H103</f>
        <v>0</v>
      </c>
      <c r="G114">
        <v>0</v>
      </c>
      <c r="H114" s="80" t="s">
        <v>240</v>
      </c>
      <c r="I114" s="81">
        <v>0</v>
      </c>
      <c r="J114" s="82">
        <v>70</v>
      </c>
      <c r="K114" s="82">
        <f>TRUNC(J114*I114,2)</f>
        <v>0</v>
      </c>
    </row>
    <row r="115" spans="1:11">
      <c r="A115" s="12" t="s">
        <v>45</v>
      </c>
      <c r="B115" t="s">
        <v>241</v>
      </c>
      <c r="D115" s="79">
        <v>0</v>
      </c>
      <c r="H115" s="83" t="s">
        <v>242</v>
      </c>
      <c r="I115" s="84">
        <v>0</v>
      </c>
      <c r="J115" s="53">
        <v>35</v>
      </c>
      <c r="K115" s="82">
        <f>TRUNC(J115*I115,2)</f>
        <v>0</v>
      </c>
    </row>
    <row r="116" spans="1:11">
      <c r="A116" s="12" t="s">
        <v>48</v>
      </c>
      <c r="B116" t="s">
        <v>156</v>
      </c>
      <c r="D116" s="79">
        <f>'Mat. e Equip. Jardineiro'!F13</f>
        <v>0</v>
      </c>
      <c r="H116" s="208" t="s">
        <v>221</v>
      </c>
      <c r="I116" s="208"/>
      <c r="J116" s="210">
        <f>TRUNC(SUM(K114:K115),2)</f>
        <v>0</v>
      </c>
      <c r="K116" s="210"/>
    </row>
    <row r="117" spans="1:11">
      <c r="A117" s="12" t="s">
        <v>50</v>
      </c>
      <c r="B117" t="s">
        <v>157</v>
      </c>
      <c r="D117" s="79">
        <f>'Mat. e Equip. Jardineiro'!F26</f>
        <v>0</v>
      </c>
      <c r="H117" s="208" t="s">
        <v>243</v>
      </c>
      <c r="I117" s="208"/>
      <c r="J117" s="210">
        <f>TRUNC(J116/12,2)</f>
        <v>0</v>
      </c>
      <c r="K117" s="210"/>
    </row>
    <row r="118" spans="1:11" ht="15" customHeight="1">
      <c r="A118" s="12" t="s">
        <v>53</v>
      </c>
      <c r="B118" t="s">
        <v>244</v>
      </c>
      <c r="D118" s="79">
        <v>0</v>
      </c>
      <c r="H118" s="212" t="str">
        <f>Pedreiro!H118</f>
        <v>* Valores estabelecidos em conformidade com as disposição da CCT n.° PB 000113/2025</v>
      </c>
      <c r="I118" s="212"/>
      <c r="J118" s="212"/>
      <c r="K118" s="212"/>
    </row>
    <row r="119" spans="1:11">
      <c r="A119" s="12" t="s">
        <v>58</v>
      </c>
      <c r="D119" s="65">
        <f>TRUNC(SUM(D114:D118),2)</f>
        <v>0</v>
      </c>
      <c r="H119" s="212"/>
      <c r="I119" s="212"/>
      <c r="J119" s="212"/>
      <c r="K119" s="212"/>
    </row>
    <row r="121" spans="1:11">
      <c r="A121" s="206" t="s">
        <v>245</v>
      </c>
      <c r="B121" s="206"/>
      <c r="C121" s="52" t="s">
        <v>219</v>
      </c>
      <c r="D121" s="53">
        <f>D31</f>
        <v>1536.73</v>
      </c>
    </row>
    <row r="122" spans="1:11">
      <c r="A122" s="206"/>
      <c r="B122" s="206"/>
      <c r="C122" s="54" t="s">
        <v>229</v>
      </c>
      <c r="D122" s="53">
        <f>D73</f>
        <v>1540.18</v>
      </c>
    </row>
    <row r="123" spans="1:11">
      <c r="A123" s="206"/>
      <c r="B123" s="206"/>
      <c r="C123" s="52" t="s">
        <v>230</v>
      </c>
      <c r="D123" s="53">
        <f>D83</f>
        <v>91.1</v>
      </c>
    </row>
    <row r="124" spans="1:11">
      <c r="A124" s="206"/>
      <c r="B124" s="206"/>
      <c r="C124" s="54" t="s">
        <v>246</v>
      </c>
      <c r="D124" s="53">
        <f>D110</f>
        <v>106.77</v>
      </c>
    </row>
    <row r="125" spans="1:11">
      <c r="A125" s="206"/>
      <c r="B125" s="206"/>
      <c r="C125" s="52" t="s">
        <v>247</v>
      </c>
      <c r="D125" s="53">
        <f>D119</f>
        <v>0</v>
      </c>
    </row>
    <row r="126" spans="1:11">
      <c r="A126" s="206"/>
      <c r="B126" s="206"/>
      <c r="C126" s="54" t="s">
        <v>221</v>
      </c>
      <c r="D126" s="55">
        <f>TRUNC((SUM(D121:D125)),2)</f>
        <v>3274.78</v>
      </c>
    </row>
    <row r="128" spans="1:11">
      <c r="A128" s="198" t="s">
        <v>164</v>
      </c>
      <c r="B128" s="198"/>
      <c r="C128" s="198"/>
      <c r="D128" s="198"/>
    </row>
    <row r="129" spans="1:9">
      <c r="A129" s="12" t="s">
        <v>165</v>
      </c>
      <c r="B129" t="s">
        <v>166</v>
      </c>
      <c r="C129" s="1" t="s">
        <v>38</v>
      </c>
      <c r="D129" s="1" t="s">
        <v>19</v>
      </c>
      <c r="H129" s="209" t="s">
        <v>248</v>
      </c>
      <c r="I129" s="209"/>
    </row>
    <row r="130" spans="1:9">
      <c r="A130" s="12" t="s">
        <v>42</v>
      </c>
      <c r="B130" t="s">
        <v>167</v>
      </c>
      <c r="C130" s="56">
        <f>Módulo663_59105[[#This Row],[Percentual]]</f>
        <v>0</v>
      </c>
      <c r="D130" s="49">
        <f>TRUNC(($D$126*C130),2)</f>
        <v>0</v>
      </c>
      <c r="H130" s="80" t="s">
        <v>249</v>
      </c>
      <c r="I130" s="63">
        <f>C132</f>
        <v>0.14250000000000002</v>
      </c>
    </row>
    <row r="131" spans="1:9">
      <c r="A131" s="12" t="s">
        <v>45</v>
      </c>
      <c r="B131" t="s">
        <v>59</v>
      </c>
      <c r="C131" s="56">
        <f>Módulo663_59105[[#This Row],[Percentual]]</f>
        <v>0</v>
      </c>
      <c r="D131" s="49">
        <f>TRUNC((C131*(D126+D130)),2)</f>
        <v>0</v>
      </c>
      <c r="H131" s="86" t="s">
        <v>250</v>
      </c>
      <c r="I131" s="87">
        <f>TRUNC(SUM(D126,D130,D131),2)</f>
        <v>3274.78</v>
      </c>
    </row>
    <row r="132" spans="1:9">
      <c r="A132" s="12" t="s">
        <v>48</v>
      </c>
      <c r="B132" t="s">
        <v>168</v>
      </c>
      <c r="C132" s="56">
        <f>SUM(C133:C135)</f>
        <v>0.14250000000000002</v>
      </c>
      <c r="D132" s="49">
        <f>TRUNC((SUM(D133:D135)),2)</f>
        <v>510.84</v>
      </c>
      <c r="H132" s="80" t="s">
        <v>251</v>
      </c>
      <c r="I132" s="88">
        <f>(100-8.65)/100</f>
        <v>0.91349999999999998</v>
      </c>
    </row>
    <row r="133" spans="1:9">
      <c r="B133" t="s">
        <v>252</v>
      </c>
      <c r="C133" s="56">
        <f>Módulo663_59105[[#This Row],[Percentual]]</f>
        <v>1.6500000000000001E-2</v>
      </c>
      <c r="D133" s="49">
        <f>TRUNC(($I$133*C133),2)</f>
        <v>59.15</v>
      </c>
      <c r="H133" s="86" t="s">
        <v>248</v>
      </c>
      <c r="I133" s="87">
        <f>TRUNC((I131/I132),2)</f>
        <v>3584.87</v>
      </c>
    </row>
    <row r="134" spans="1:9">
      <c r="B134" t="s">
        <v>253</v>
      </c>
      <c r="C134" s="56">
        <f>Módulo663_59105[[#This Row],[Percentual]]</f>
        <v>7.5999999999999998E-2</v>
      </c>
      <c r="D134" s="49">
        <f>TRUNC(($I$133*C134),2)</f>
        <v>272.45</v>
      </c>
    </row>
    <row r="135" spans="1:9">
      <c r="B135" t="s">
        <v>254</v>
      </c>
      <c r="C135" s="56">
        <f>Módulo663_59105[[#This Row],[Percentual]]</f>
        <v>0.05</v>
      </c>
      <c r="D135" s="49">
        <f>TRUNC(($I$133*C135),2)</f>
        <v>179.24</v>
      </c>
    </row>
    <row r="136" spans="1:9">
      <c r="A136" s="12" t="s">
        <v>58</v>
      </c>
      <c r="C136" s="1"/>
      <c r="D136" s="7">
        <f>TRUNC(SUM(D130:D132),2)</f>
        <v>510.84</v>
      </c>
    </row>
    <row r="137" spans="1:9">
      <c r="C137" s="1"/>
      <c r="D137" s="7"/>
    </row>
    <row r="139" spans="1:9">
      <c r="A139" s="198" t="s">
        <v>172</v>
      </c>
      <c r="B139" s="198"/>
      <c r="C139" s="198"/>
      <c r="D139" s="198"/>
    </row>
    <row r="140" spans="1:9">
      <c r="A140" s="12" t="s">
        <v>16</v>
      </c>
      <c r="B140" s="1" t="s">
        <v>173</v>
      </c>
      <c r="C140" s="1" t="s">
        <v>102</v>
      </c>
      <c r="D140" s="1" t="s">
        <v>19</v>
      </c>
    </row>
    <row r="141" spans="1:9">
      <c r="A141" s="12" t="s">
        <v>42</v>
      </c>
      <c r="B141" t="s">
        <v>36</v>
      </c>
      <c r="D141" s="7">
        <f>D31</f>
        <v>1536.73</v>
      </c>
    </row>
    <row r="142" spans="1:9">
      <c r="A142" s="12" t="s">
        <v>45</v>
      </c>
      <c r="B142" t="s">
        <v>61</v>
      </c>
      <c r="D142" s="7">
        <f>D73</f>
        <v>1540.18</v>
      </c>
    </row>
    <row r="143" spans="1:9">
      <c r="A143" s="12" t="s">
        <v>48</v>
      </c>
      <c r="B143" t="s">
        <v>108</v>
      </c>
      <c r="D143" s="7">
        <f>D83</f>
        <v>91.1</v>
      </c>
    </row>
    <row r="144" spans="1:9">
      <c r="A144" s="12" t="s">
        <v>50</v>
      </c>
      <c r="B144" t="s">
        <v>174</v>
      </c>
      <c r="D144" s="7">
        <f>D110</f>
        <v>106.77</v>
      </c>
    </row>
    <row r="145" spans="1:4">
      <c r="A145" s="12" t="s">
        <v>53</v>
      </c>
      <c r="B145" t="s">
        <v>152</v>
      </c>
      <c r="D145" s="7">
        <f>D119</f>
        <v>0</v>
      </c>
    </row>
    <row r="146" spans="1:4">
      <c r="B146" s="89" t="s">
        <v>255</v>
      </c>
      <c r="D146" s="7">
        <f>TRUNC(SUM(D141:D145),2)</f>
        <v>3274.78</v>
      </c>
    </row>
    <row r="147" spans="1:4">
      <c r="A147" s="12" t="s">
        <v>55</v>
      </c>
      <c r="B147" t="s">
        <v>164</v>
      </c>
      <c r="D147" s="7">
        <f>D136</f>
        <v>510.84</v>
      </c>
    </row>
    <row r="148" spans="1:4">
      <c r="A148" s="101"/>
      <c r="B148" s="91" t="s">
        <v>256</v>
      </c>
      <c r="C148" s="20"/>
      <c r="D148" s="92">
        <f>TRUNC((SUM(D141:D145)+D147),2)</f>
        <v>3785.62</v>
      </c>
    </row>
  </sheetData>
  <mergeCells count="38">
    <mergeCell ref="A128:D128"/>
    <mergeCell ref="H129:I129"/>
    <mergeCell ref="A139:D139"/>
    <mergeCell ref="J116:K116"/>
    <mergeCell ref="H117:I117"/>
    <mergeCell ref="J117:K117"/>
    <mergeCell ref="H118:K119"/>
    <mergeCell ref="A121:B126"/>
    <mergeCell ref="A91:D91"/>
    <mergeCell ref="A101:D101"/>
    <mergeCell ref="A106:D106"/>
    <mergeCell ref="A112:D112"/>
    <mergeCell ref="H116:I116"/>
    <mergeCell ref="A57:D57"/>
    <mergeCell ref="A68:D68"/>
    <mergeCell ref="A75:D75"/>
    <mergeCell ref="A85:B88"/>
    <mergeCell ref="A90:D90"/>
    <mergeCell ref="H31:I31"/>
    <mergeCell ref="A33:D33"/>
    <mergeCell ref="A35:D35"/>
    <mergeCell ref="A41:B43"/>
    <mergeCell ref="A45:D45"/>
    <mergeCell ref="A14:B14"/>
    <mergeCell ref="A15:D15"/>
    <mergeCell ref="H15:I15"/>
    <mergeCell ref="H22:I22"/>
    <mergeCell ref="A23:D23"/>
    <mergeCell ref="C9:D9"/>
    <mergeCell ref="C10:D10"/>
    <mergeCell ref="A11:D11"/>
    <mergeCell ref="A12:B12"/>
    <mergeCell ref="A13:B13"/>
    <mergeCell ref="A2:D2"/>
    <mergeCell ref="A3:D3"/>
    <mergeCell ref="A6:D6"/>
    <mergeCell ref="C7:D7"/>
    <mergeCell ref="C8:D8"/>
  </mergeCells>
  <pageMargins left="0.25" right="0.25" top="0.75" bottom="0.75" header="0.511811023622047" footer="0.511811023622047"/>
  <pageSetup paperSize="9" scale="74" fitToHeight="0" orientation="portrait" horizontalDpi="300" verticalDpi="300"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docProps/app.xml><?xml version="1.0" encoding="utf-8"?>
<Properties xmlns="http://schemas.openxmlformats.org/officeDocument/2006/extended-properties" xmlns:vt="http://schemas.openxmlformats.org/officeDocument/2006/docPropsVTypes">
  <Template/>
  <TotalTime>31</TotalTime>
  <Application>Microsoft Excel</Application>
  <DocSecurity>0</DocSecurity>
  <ScaleCrop>false</ScaleCrop>
  <HeadingPairs>
    <vt:vector size="4" baseType="variant">
      <vt:variant>
        <vt:lpstr>Planilhas</vt:lpstr>
      </vt:variant>
      <vt:variant>
        <vt:i4>17</vt:i4>
      </vt:variant>
      <vt:variant>
        <vt:lpstr>Intervalos Nomeados</vt:lpstr>
      </vt:variant>
      <vt:variant>
        <vt:i4>21</vt:i4>
      </vt:variant>
    </vt:vector>
  </HeadingPairs>
  <TitlesOfParts>
    <vt:vector size="38" baseType="lpstr">
      <vt:lpstr>Orientações</vt:lpstr>
      <vt:lpstr>Servente</vt:lpstr>
      <vt:lpstr>RESUMO</vt:lpstr>
      <vt:lpstr>Pedreiro</vt:lpstr>
      <vt:lpstr>Eletricista</vt:lpstr>
      <vt:lpstr>Pintor</vt:lpstr>
      <vt:lpstr>Técnico em Manutenção</vt:lpstr>
      <vt:lpstr>Piscineiro</vt:lpstr>
      <vt:lpstr>Jardineiro</vt:lpstr>
      <vt:lpstr>Cozinheira</vt:lpstr>
      <vt:lpstr>Auxiliar de Cozinha</vt:lpstr>
      <vt:lpstr>Recepcionista</vt:lpstr>
      <vt:lpstr>Motorista Interestadual</vt:lpstr>
      <vt:lpstr>Uniformes e EPI</vt:lpstr>
      <vt:lpstr>Mat. Piscineiro</vt:lpstr>
      <vt:lpstr>Mat. e Equip. Jardineiro</vt:lpstr>
      <vt:lpstr>Diárias Nacionais Motorista</vt:lpstr>
      <vt:lpstr>_1A</vt:lpstr>
      <vt:lpstr>_1B</vt:lpstr>
      <vt:lpstr>_1C</vt:lpstr>
      <vt:lpstr>_1D</vt:lpstr>
      <vt:lpstr>_1E</vt:lpstr>
      <vt:lpstr>_1F</vt:lpstr>
      <vt:lpstr>_2.1A</vt:lpstr>
      <vt:lpstr>_2.1B</vt:lpstr>
      <vt:lpstr>_2.3A</vt:lpstr>
      <vt:lpstr>_2.3B</vt:lpstr>
      <vt:lpstr>_2.3C</vt:lpstr>
      <vt:lpstr>_2.3D</vt:lpstr>
      <vt:lpstr>Eletricista!Area_de_impressao</vt:lpstr>
      <vt:lpstr>Jardineiro!Area_de_impressao</vt:lpstr>
      <vt:lpstr>Pedreiro!Area_de_impressao</vt:lpstr>
      <vt:lpstr>Pintor!Area_de_impressao</vt:lpstr>
      <vt:lpstr>Piscineiro!Area_de_impressao</vt:lpstr>
      <vt:lpstr>RESUMO!Area_de_impressao</vt:lpstr>
      <vt:lpstr>'Técnico em Manutenção'!Area_de_impressao</vt:lpstr>
      <vt:lpstr>Salário_Normativo_da_Categoria_Profissional</vt:lpstr>
      <vt:lpstr>SalarioBase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COMPUTER</cp:lastModifiedBy>
  <cp:revision>6</cp:revision>
  <cp:lastPrinted>2025-03-10T19:24:34Z</cp:lastPrinted>
  <dcterms:created xsi:type="dcterms:W3CDTF">2019-02-19T21:25:00Z</dcterms:created>
  <dcterms:modified xsi:type="dcterms:W3CDTF">2025-05-19T14:32:27Z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ICV">
    <vt:lpwstr>36CB9152D4524E47A36AB7537F1FF8CF</vt:lpwstr>
  </property>
  <property fmtid="{D5CDD505-2E9C-101B-9397-08002B2CF9AE}" pid="4" name="KSOProductBuildVer">
    <vt:lpwstr>1046-11.2.0.11251</vt:lpwstr>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